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defaultThemeVersion="124226"/>
  <xr:revisionPtr revIDLastSave="0" documentId="13_ncr:1_{27C5793E-7024-456B-892E-8579894E9212}" xr6:coauthVersionLast="47" xr6:coauthVersionMax="47" xr10:uidLastSave="{00000000-0000-0000-0000-000000000000}"/>
  <bookViews>
    <workbookView xWindow="35880" yWindow="-120" windowWidth="57840" windowHeight="15720" xr2:uid="{00000000-000D-0000-FFFF-FFFF00000000}"/>
  </bookViews>
  <sheets>
    <sheet name="Bearbeitungshinweise" sheetId="1" r:id="rId1"/>
    <sheet name="Änderungshistorie" sheetId="11" r:id="rId2"/>
    <sheet name="Product-Backlog" sheetId="2" r:id="rId3"/>
    <sheet name="KANBAN-Board" sheetId="12" r:id="rId4"/>
    <sheet name="Burn-Down-Chart (US)" sheetId="17" r:id="rId5"/>
    <sheet name="Burn-Up-Chart (US)" sheetId="18" r:id="rId6"/>
    <sheet name="Burn-Down-Chart (SP)" sheetId="19" r:id="rId7"/>
    <sheet name="Burn-Up-Chart (SP)" sheetId="20" r:id="rId8"/>
  </sheets>
  <definedNames>
    <definedName name="_xlnm.Print_Area" localSheetId="1">Änderungshistorie!$A$1:$G$26</definedName>
    <definedName name="_xlnm.Print_Area" localSheetId="0">Bearbeitungshinweise!$A$1:$T$104</definedName>
    <definedName name="_xlnm.Print_Area" localSheetId="2">'Product-Backlog'!$B$2:$Q$39</definedName>
    <definedName name="mg2_AbstandZeilen">#REF!</definedName>
    <definedName name="rng_AbstandZeil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2" l="1"/>
  <c r="C34" i="12"/>
  <c r="D34" i="12"/>
  <c r="E34" i="12"/>
  <c r="F34" i="12"/>
  <c r="G34" i="12"/>
  <c r="H34" i="12"/>
  <c r="B35" i="12"/>
  <c r="C35" i="12"/>
  <c r="D35" i="12"/>
  <c r="E35" i="12"/>
  <c r="F35" i="12"/>
  <c r="G35" i="12"/>
  <c r="H35" i="12"/>
  <c r="B36" i="12"/>
  <c r="C36" i="12"/>
  <c r="D36" i="12"/>
  <c r="E36" i="12"/>
  <c r="F36" i="12"/>
  <c r="G36" i="12"/>
  <c r="H36" i="12"/>
  <c r="B37" i="12"/>
  <c r="C37" i="12"/>
  <c r="D37" i="12"/>
  <c r="E37" i="12"/>
  <c r="F37" i="12"/>
  <c r="G37" i="12"/>
  <c r="H37" i="12"/>
  <c r="B38" i="12"/>
  <c r="C38" i="12"/>
  <c r="D38" i="12"/>
  <c r="E38" i="12"/>
  <c r="F38" i="12"/>
  <c r="G38" i="12"/>
  <c r="H38" i="12"/>
  <c r="B39" i="12"/>
  <c r="C39" i="12"/>
  <c r="D39" i="12"/>
  <c r="E39" i="12"/>
  <c r="F39" i="12"/>
  <c r="G39" i="12"/>
  <c r="H39" i="12"/>
  <c r="B33" i="12"/>
  <c r="C33" i="12"/>
  <c r="D33" i="12"/>
  <c r="E33" i="12"/>
  <c r="F33" i="12"/>
  <c r="G33" i="12"/>
  <c r="H33" i="12"/>
  <c r="M112" i="2" l="1"/>
  <c r="M111" i="2"/>
  <c r="M113" i="2" s="1"/>
  <c r="M110" i="2"/>
  <c r="M109" i="2"/>
  <c r="M99" i="2"/>
  <c r="M101" i="2" s="1"/>
  <c r="M98" i="2"/>
  <c r="M100" i="2" s="1"/>
  <c r="M97" i="2"/>
  <c r="M96" i="2"/>
  <c r="M86" i="2"/>
  <c r="M85" i="2"/>
  <c r="M87" i="2" s="1"/>
  <c r="M84" i="2"/>
  <c r="M83" i="2"/>
  <c r="M73" i="2"/>
  <c r="M72" i="2"/>
  <c r="M74" i="2" s="1"/>
  <c r="M71" i="2"/>
  <c r="M70" i="2"/>
  <c r="M60" i="2"/>
  <c r="M59" i="2"/>
  <c r="M61" i="2" s="1"/>
  <c r="M58" i="2"/>
  <c r="M57" i="2"/>
  <c r="M47" i="2"/>
  <c r="M46" i="2"/>
  <c r="M48" i="2" s="1"/>
  <c r="M45" i="2"/>
  <c r="M44" i="2"/>
  <c r="H51" i="2"/>
  <c r="H50" i="2"/>
  <c r="H49" i="2"/>
  <c r="H48" i="2"/>
  <c r="H47" i="2"/>
  <c r="H46" i="2"/>
  <c r="H45" i="2"/>
  <c r="F47" i="2"/>
  <c r="F46" i="2"/>
  <c r="F45" i="2"/>
  <c r="F44" i="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12" i="12"/>
  <c r="J17" i="17" l="1"/>
  <c r="J20" i="17" s="1"/>
  <c r="M65" i="2"/>
  <c r="M78" i="2"/>
  <c r="M117" i="2"/>
  <c r="M104" i="2"/>
  <c r="M91" i="2"/>
  <c r="J17" i="18"/>
  <c r="L17" i="17"/>
  <c r="L20" i="17" s="1"/>
  <c r="L17" i="18"/>
  <c r="L20" i="18" s="1"/>
  <c r="M75" i="2"/>
  <c r="L17" i="20"/>
  <c r="L20" i="20" s="1"/>
  <c r="L17" i="19"/>
  <c r="L20" i="19" s="1"/>
  <c r="K17" i="17"/>
  <c r="K20" i="17" s="1"/>
  <c r="K17" i="18"/>
  <c r="K20" i="18" s="1"/>
  <c r="J15" i="18"/>
  <c r="K15" i="17"/>
  <c r="K18" i="17" s="1"/>
  <c r="K19" i="17" s="1"/>
  <c r="K15" i="18"/>
  <c r="L15" i="18"/>
  <c r="M118" i="2"/>
  <c r="M92" i="2"/>
  <c r="M79" i="2"/>
  <c r="M66" i="2"/>
  <c r="M105" i="2"/>
  <c r="J17" i="20"/>
  <c r="J17" i="19"/>
  <c r="L15" i="20"/>
  <c r="J15" i="19"/>
  <c r="J18" i="19" s="1"/>
  <c r="J19" i="19" s="1"/>
  <c r="K15" i="20"/>
  <c r="L15" i="19"/>
  <c r="L18" i="19" s="1"/>
  <c r="L19" i="19" s="1"/>
  <c r="J15" i="20"/>
  <c r="K15" i="19"/>
  <c r="K18" i="19" s="1"/>
  <c r="K19" i="19" s="1"/>
  <c r="K17" i="20"/>
  <c r="K20" i="20" s="1"/>
  <c r="K17" i="19"/>
  <c r="K20" i="19" s="1"/>
  <c r="L15" i="17"/>
  <c r="J15" i="17"/>
  <c r="J16" i="17"/>
  <c r="J18" i="17"/>
  <c r="J19" i="17" s="1"/>
  <c r="M62" i="2"/>
  <c r="M88" i="2"/>
  <c r="M114" i="2"/>
  <c r="M52" i="2"/>
  <c r="M116" i="2"/>
  <c r="M103" i="2"/>
  <c r="M90" i="2"/>
  <c r="M77" i="2"/>
  <c r="M64" i="2"/>
  <c r="M51" i="2"/>
  <c r="M53" i="2"/>
  <c r="M49" i="2"/>
  <c r="J20" i="18" l="1"/>
  <c r="J16" i="18"/>
  <c r="K16" i="18" s="1"/>
  <c r="L16" i="18" s="1"/>
  <c r="K18" i="20"/>
  <c r="K19" i="20" s="1"/>
  <c r="J18" i="18"/>
  <c r="J19" i="18" s="1"/>
  <c r="K16" i="17"/>
  <c r="L16" i="17" s="1"/>
  <c r="J20" i="20"/>
  <c r="J16" i="20"/>
  <c r="K16" i="20" s="1"/>
  <c r="L16" i="20" s="1"/>
  <c r="J18" i="20"/>
  <c r="J19" i="20" s="1"/>
  <c r="L18" i="17"/>
  <c r="L19" i="17" s="1"/>
  <c r="L18" i="20"/>
  <c r="L19" i="20" s="1"/>
  <c r="L18" i="18"/>
  <c r="L19" i="18" s="1"/>
  <c r="J20" i="19"/>
  <c r="J16" i="19"/>
  <c r="K16" i="19" s="1"/>
  <c r="L16" i="19" s="1"/>
  <c r="K18" i="18"/>
  <c r="K19" i="18" s="1"/>
  <c r="L21" i="18"/>
  <c r="L22" i="18" s="1"/>
  <c r="J21" i="17"/>
  <c r="J22" i="17" s="1"/>
  <c r="K21" i="17"/>
  <c r="K22" i="17" s="1"/>
  <c r="L21" i="17"/>
  <c r="L22" i="17" s="1"/>
  <c r="J21" i="19" l="1"/>
  <c r="J22" i="19" s="1"/>
  <c r="K21" i="19"/>
  <c r="K22" i="19" s="1"/>
  <c r="L21" i="19"/>
  <c r="L22" i="19" s="1"/>
  <c r="J21" i="20"/>
  <c r="J22" i="20" s="1"/>
  <c r="L21" i="20"/>
  <c r="L22" i="20" s="1"/>
  <c r="K21" i="20"/>
  <c r="K22" i="20" s="1"/>
  <c r="K21" i="18"/>
  <c r="K22" i="18" s="1"/>
  <c r="J21" i="18"/>
  <c r="J22" i="18" s="1"/>
</calcChain>
</file>

<file path=xl/sharedStrings.xml><?xml version="1.0" encoding="utf-8"?>
<sst xmlns="http://schemas.openxmlformats.org/spreadsheetml/2006/main" count="537" uniqueCount="261">
  <si>
    <t>Status</t>
  </si>
  <si>
    <t>Beschreibung / Kurzbeschreibung:</t>
  </si>
  <si>
    <t>Zweck der Vorlage:</t>
  </si>
  <si>
    <t>Änderungshistorie</t>
  </si>
  <si>
    <t>Bereitstellung Steuerungssystem DA2020</t>
  </si>
  <si>
    <t>Version</t>
  </si>
  <si>
    <t>Datum</t>
  </si>
  <si>
    <t>Name</t>
  </si>
  <si>
    <t>Änderung</t>
  </si>
  <si>
    <t>Kopfdaten:</t>
  </si>
  <si>
    <t>Projektname: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</si>
  <si>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</si>
  <si>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</si>
  <si>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</si>
  <si>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</si>
  <si>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</si>
  <si>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Version 0.1</t>
  </si>
  <si>
    <t>Dietmar Müller</t>
  </si>
  <si>
    <t>Dokument angelegt.</t>
  </si>
  <si>
    <t>Entwurf</t>
  </si>
  <si>
    <t xml:space="preserve"> </t>
  </si>
  <si>
    <t>erfasst</t>
  </si>
  <si>
    <t>bereit</t>
  </si>
  <si>
    <t>Schritt 1</t>
  </si>
  <si>
    <t>Schritt 2</t>
  </si>
  <si>
    <t>Schritt 3</t>
  </si>
  <si>
    <t>fertig</t>
  </si>
  <si>
    <t>gestrichen</t>
  </si>
  <si>
    <t>KANBAN Board zum Product-Backlog</t>
  </si>
  <si>
    <t>Name der Vorlage:</t>
  </si>
  <si>
    <t>Reiter: Änderungshistorie:</t>
  </si>
  <si>
    <t>Hier wird die Änderungshistorie zum Dokument abgebildet.</t>
  </si>
  <si>
    <t>Bearbeitungshinweise:</t>
  </si>
  <si>
    <t>Eingabefeld</t>
  </si>
  <si>
    <t>Felder für die Eingabe von Daten.</t>
  </si>
  <si>
    <t>Auswahlfeld</t>
  </si>
  <si>
    <t>Hier wird eine mögliche Auswahl von vorgegebenen Einträgen möglich.</t>
  </si>
  <si>
    <t>Hilfsberechnungen</t>
  </si>
  <si>
    <t>Spalten zur Hilfsberechnung.</t>
  </si>
  <si>
    <t>Berechnungsfeld</t>
  </si>
  <si>
    <t>Hier werden Berechnungen durchgeführt. Keine Dateneingabe vornehmen bzw. möglich.</t>
  </si>
  <si>
    <t>Verknüpfung</t>
  </si>
  <si>
    <t>Hier werden Daten / Texte dargestellt, die von anderer Stelle geholt werden.</t>
  </si>
  <si>
    <t>Bearbeitungshinweise zu MS-Office:</t>
  </si>
  <si>
    <t>Dokument mit aktuellen Daten fortgeschrieben.</t>
  </si>
  <si>
    <t>Version 0.2</t>
  </si>
  <si>
    <t>Bemerkungen</t>
  </si>
  <si>
    <t>Akzeptanzkriterien</t>
  </si>
  <si>
    <t>Warum, wozu
so dass, damit</t>
  </si>
  <si>
    <t>Was
möchte ich</t>
  </si>
  <si>
    <t>Wer
Als "Rollenbezeichnung"</t>
  </si>
  <si>
    <t>Sprint Nr.</t>
  </si>
  <si>
    <t xml:space="preserve">Priorität
</t>
  </si>
  <si>
    <t>Story-Points</t>
  </si>
  <si>
    <t>User-Story-Name</t>
  </si>
  <si>
    <t>User-Story-Nr.</t>
  </si>
  <si>
    <t>EPIC-Name</t>
  </si>
  <si>
    <t>EPIC-Nr.</t>
  </si>
  <si>
    <t>Lauf. Nr.</t>
  </si>
  <si>
    <t>Name EPIC 1</t>
  </si>
  <si>
    <t>Name EPIC 2</t>
  </si>
  <si>
    <t>Name EPIC 3</t>
  </si>
  <si>
    <t>Name User-Story 1</t>
  </si>
  <si>
    <t>Name User-Story 2</t>
  </si>
  <si>
    <t>Name User-Story 3</t>
  </si>
  <si>
    <t>Name User-Story 4</t>
  </si>
  <si>
    <t>Name User-Story 5</t>
  </si>
  <si>
    <t>Name User-Story 6</t>
  </si>
  <si>
    <t>Name User-Story 7</t>
  </si>
  <si>
    <t>Name User-Story 8</t>
  </si>
  <si>
    <t>Name User-Story 9</t>
  </si>
  <si>
    <t>Name User-Story 10</t>
  </si>
  <si>
    <t>Name User-Story 11</t>
  </si>
  <si>
    <t>Name User-Story 12</t>
  </si>
  <si>
    <t>Name User-Story 13</t>
  </si>
  <si>
    <t>Summen Gesamtprojekt:</t>
  </si>
  <si>
    <t>Prozess-Schritte:</t>
  </si>
  <si>
    <t>Anzahl EPICs:</t>
  </si>
  <si>
    <t>Anzahl Prozess-Schritte:</t>
  </si>
  <si>
    <t>Anzahl User-Sporys:</t>
  </si>
  <si>
    <t>Anzahl Status erfasst:</t>
  </si>
  <si>
    <t>Summe Story-Points:</t>
  </si>
  <si>
    <t>Anzahl Status bereit:</t>
  </si>
  <si>
    <t>Anzahl geplante Sprints:</t>
  </si>
  <si>
    <t>Anzahl Status Schritt 1:</t>
  </si>
  <si>
    <t>Anzahl Status Schritt 2:</t>
  </si>
  <si>
    <t>Anzahl Status Schritt 3:</t>
  </si>
  <si>
    <t>Anzahl Status fertig:</t>
  </si>
  <si>
    <t>Anzahl Status gestrichen:</t>
  </si>
  <si>
    <t>Sprint 1</t>
  </si>
  <si>
    <t>Anzahl User-Storys (geplant):</t>
  </si>
  <si>
    <t>Zählt die Anzahl der User-Storys, die in dem Sprint bearbeitet werden.</t>
  </si>
  <si>
    <t>Anzahl User-Storys (fertig):</t>
  </si>
  <si>
    <t>Zählt die Ansahl der Story-Points, die in dem Sprint realisiert wurden werden.</t>
  </si>
  <si>
    <t>Summe-Story-Points (geplant):</t>
  </si>
  <si>
    <t>Zählt die Anzahl der Story-Points, die im Sprint geplant sind zu realisieren.</t>
  </si>
  <si>
    <t>Summe-Story-Points (fertig):</t>
  </si>
  <si>
    <t>Zählt die Anzahl der Story-Points, die im Sprint realisiert wurden.</t>
  </si>
  <si>
    <t>Velocity Sprint (geplant):</t>
  </si>
  <si>
    <t>Zeigt die geplante Velocity im ersten Sprint.</t>
  </si>
  <si>
    <t>Velocity Sprint (fertig):</t>
  </si>
  <si>
    <t>Zeigt die realisierte Velocity im ersten Sprint. Diese Angabe ist im ersten Sprint nicht sinnvoll.</t>
  </si>
  <si>
    <t>Hybride Kennzahlen:</t>
  </si>
  <si>
    <t>Realisierungsgrad des Sprints:</t>
  </si>
  <si>
    <t>Zeigt die tatsächlich im Sprint realisierten Anteil der User-Storys im verhältnis zur Sprint-Planung.</t>
  </si>
  <si>
    <t>Fortschrittsgrad (Bezug User-Storys):</t>
  </si>
  <si>
    <t>Zeigt den Fortschrittsgrad des Projektes in Bezug zum gesamten Backlog.</t>
  </si>
  <si>
    <t>Fortschrittsgrad (Bezug Story-Points):</t>
  </si>
  <si>
    <t>Zeigt den Abarbeitungsgrad der Story-Points im Verhältnis zur Gesamtschätzung der Story-Points des Projektes.</t>
  </si>
  <si>
    <t>Sprint 2</t>
  </si>
  <si>
    <t>Zeigt die geplante Velocity im zweiten Sprint.</t>
  </si>
  <si>
    <t>Zeigt die realisierte Velocity im zweiten Sprint.</t>
  </si>
  <si>
    <t>Sprint 3</t>
  </si>
  <si>
    <t>Zeigt die geplante Velocity im dritten Sprint.</t>
  </si>
  <si>
    <t>Zeigt die realisierte Velocity im dritten Sprint.</t>
  </si>
  <si>
    <t>Sprint 4</t>
  </si>
  <si>
    <t>Zeigt die geplante Velocity im vierten Sprint.</t>
  </si>
  <si>
    <t>Zeigt die realisierte Velocity im vierten Sprint.</t>
  </si>
  <si>
    <t>Sprint 5</t>
  </si>
  <si>
    <t>Zeigt die geplante Velocity im fünften Sprint.</t>
  </si>
  <si>
    <t>Zeigt die realisierte Velocity im fünften Sprint.</t>
  </si>
  <si>
    <t>Sprint 6</t>
  </si>
  <si>
    <t>Zeigt die geplante Velocity im sechsten Sprint.</t>
  </si>
  <si>
    <t>Zeigt die realisierte Velocity im sechsten Sprint.</t>
  </si>
  <si>
    <t>Bei Bedarf können für weitere Sprints, die bisher aufgeführten Tabellen kopiert werden.</t>
  </si>
  <si>
    <t>Die Verweise müssen in den Formel entsprechend angepasst werden.</t>
  </si>
  <si>
    <t>Sprint 7</t>
  </si>
  <si>
    <t>Anzahl User-Storys (geplant)</t>
  </si>
  <si>
    <t>Sprintnummer anpassen.</t>
  </si>
  <si>
    <t>Nach dem kopieren keine Anpassung erforderlich.</t>
  </si>
  <si>
    <t>Divisor anpassen auf Feld Anzahl User-Storys Gesamtprojekt.</t>
  </si>
  <si>
    <t>Divisor anpassen auf Feld Anzahl Story-Points Gesamtprojekt.</t>
  </si>
  <si>
    <t>Burn-Down-Chart</t>
  </si>
  <si>
    <t>Bezeichnung Y-Achse</t>
  </si>
  <si>
    <t>Bezeichnung X-Achse</t>
  </si>
  <si>
    <t>Anzahl Sprints</t>
  </si>
  <si>
    <t>Gesamtanzahl User-Storys</t>
  </si>
  <si>
    <t>Realisierte User-Storys im Sprint</t>
  </si>
  <si>
    <t>Gesamtanzahl realisierte User-Storys</t>
  </si>
  <si>
    <t>Gesamtanzahl Story-Points</t>
  </si>
  <si>
    <t>Sprint-Nummer</t>
  </si>
  <si>
    <t>Basisdaten Burn-Down-Chart User-Story</t>
  </si>
  <si>
    <t>Berechnete Restmenge User-Storys</t>
  </si>
  <si>
    <t>Berechnete Restmenge User-Storys (Kopie)</t>
  </si>
  <si>
    <t>Summe Backlogeinträge</t>
  </si>
  <si>
    <t>Restmenge User-Storys</t>
  </si>
  <si>
    <t>Verlauf User-Storys</t>
  </si>
  <si>
    <t>Realisierte User-Storys</t>
  </si>
  <si>
    <t>Summe realisierte User-Storys</t>
  </si>
  <si>
    <t>Basisdaten Burn-Down-Chart Story-Points</t>
  </si>
  <si>
    <t>Gesamtanzahl Story-Point</t>
  </si>
  <si>
    <t>Gesamtanzahl realisierte Story-Point</t>
  </si>
  <si>
    <t>Realisierte Story-Point im Sprint</t>
  </si>
  <si>
    <t>Berechnete Restmenge Story-Point</t>
  </si>
  <si>
    <t>Berechnete Restmenge Story-Point (Kopie)</t>
  </si>
  <si>
    <t>Realisierte Story-Point</t>
  </si>
  <si>
    <t>Restmenge Story-Point</t>
  </si>
  <si>
    <t>Verlauf Story-Point</t>
  </si>
  <si>
    <t>Gesamtanzahl realisierte Story-Points</t>
  </si>
  <si>
    <t>Realisierte Story-Pointsim Sprint</t>
  </si>
  <si>
    <t>Berechnete Restmenge Story-Points</t>
  </si>
  <si>
    <t>Realisierte Story-Points</t>
  </si>
  <si>
    <t>Restmenge Story-Points</t>
  </si>
  <si>
    <t>Summe realisierte Story-Points</t>
  </si>
  <si>
    <t>Velocity im Sprint</t>
  </si>
  <si>
    <t>Durchschnittliche Velocity</t>
  </si>
  <si>
    <t>Prognose Anzahl benötigter Sprints</t>
  </si>
  <si>
    <t>Verlauf Story-Points</t>
  </si>
  <si>
    <t>Name EPIC 4</t>
  </si>
  <si>
    <t>Name EPIC 5</t>
  </si>
  <si>
    <t>Name EPIC 6</t>
  </si>
  <si>
    <t>Name User-Story 14</t>
  </si>
  <si>
    <t>Name User-Story 15</t>
  </si>
  <si>
    <t>Name User-Story 16</t>
  </si>
  <si>
    <t>Name User-Story 17</t>
  </si>
  <si>
    <t>Name User-Story 18</t>
  </si>
  <si>
    <t>Name User-Story 19</t>
  </si>
  <si>
    <t>Name User-Story 20</t>
  </si>
  <si>
    <t>Name User-Story 21</t>
  </si>
  <si>
    <t>Name User-Story 22</t>
  </si>
  <si>
    <t>Name User-Story 23</t>
  </si>
  <si>
    <t>Name User-Story 24</t>
  </si>
  <si>
    <t>Name User-Story 25</t>
  </si>
  <si>
    <t>Diese Vorlage stellt ein Product-Backlog dar, mit dem zum einen das Product-Backlog verwaltet werden kann und zum anderen auch die User-Storys spezifiziert werden können.</t>
  </si>
  <si>
    <t>Ebenso wird das Product-Backlog über ein KANBAN-Board visualisiert.</t>
  </si>
  <si>
    <t>Product-Backlog incl. KANBAN-Board und Visualisierung des Arbeitsfortschrittes über Burn-Down- und Burn-Up-Charts</t>
  </si>
  <si>
    <t>Reiter: Product-Backlog::</t>
  </si>
  <si>
    <t>Reiter KANBAN-Board:</t>
  </si>
  <si>
    <t>Reiter Burn-Down-Chart (US):</t>
  </si>
  <si>
    <t>Reiter Burn-Up-Chart (US):</t>
  </si>
  <si>
    <t>Reiter Burn-Down-Chart (SP):</t>
  </si>
  <si>
    <t>Reiter Burn-Up-Chart (SP):</t>
  </si>
  <si>
    <t>Hier ist ein Burn-Down-Chart dargestellt, das für die Dimenstion Arbeit die Anzahl der User-Storys aufführt.</t>
  </si>
  <si>
    <t>Hier ist ein Burn-Up-Chart dargestellt, das für die Dimenstion Arbeit die Anzahl der User-Storys aufführt.</t>
  </si>
  <si>
    <t>Hier ist ein Burn-Down-Chart dargestellt, das für die Dimenstion Arbeit die Anzahl der Story-Poins aufführt.</t>
  </si>
  <si>
    <t>Hier ist ein Burn-Up-Chart dargestellt, das für die Dimenstion Arbeit die Anzahl der Story-Poins aufführt.</t>
  </si>
  <si>
    <t>Hier ist das Product-Backlog dargestellt. Zum einen ist die Verwaltung von Anforderungen möglich. Ebenso können die User-Story schrittweise in den Sprints spezifiziert werden.</t>
  </si>
  <si>
    <t xml:space="preserve">Das Product-Backlog ist Zweidimensional aufgebaut. </t>
  </si>
  <si>
    <t xml:space="preserve">Das bedeutet, dass zum einen User-Story-Einträge möglich sind. Zudem können Gruppen von User-Storys zu EPICs zusammengefasst werden. </t>
  </si>
  <si>
    <t>Wer - Als "Rollenbezeichnung"</t>
  </si>
  <si>
    <t>Was - möchte ich</t>
  </si>
  <si>
    <t>Warum, wozu - so dass, damit</t>
  </si>
  <si>
    <t>Raum für Notizen.</t>
  </si>
  <si>
    <t>Hier kann die Anzahl der geschätzten Story-Points eingetragen werden.</t>
  </si>
  <si>
    <t>Hier kann die Priorität der User-Story eingetragen werden.</t>
  </si>
  <si>
    <t>Hier kann eine User-Story einem Sprint zugeordnet werden, in dem sie realisiert werden soll.</t>
  </si>
  <si>
    <t>Hier kann der Bearbeitungsstatus der User-Story hinterlegt werden.</t>
  </si>
  <si>
    <t xml:space="preserve">erfasst </t>
  </si>
  <si>
    <t>Die User Story ist erfasst aber noch nicht zur Umsetzung vorbereitet.</t>
  </si>
  <si>
    <t>Die User-Story ist zur Umsetzung vorbereitet.</t>
  </si>
  <si>
    <t>Die User-Story befindet sich im ersten Arbeitsschritt, z. B. Spezifizieren.</t>
  </si>
  <si>
    <t>Die User Story befindet sich im zweiten Arbeitsschritt, z. B. Programmieren.</t>
  </si>
  <si>
    <t>Die User-Story befindet sich im dritten Arbeitsschritt, z. B. Testen.</t>
  </si>
  <si>
    <t>Die User-Story ist fertig gestellt.</t>
  </si>
  <si>
    <t xml:space="preserve">fertig </t>
  </si>
  <si>
    <t>Die Anzahl der Bearbeitsungsschritte kann gekürzt oder erweitert werden.</t>
  </si>
  <si>
    <t xml:space="preserve">Hier ist nun das Spezifizierung der User-Story mit der Methode User-Story-Spezification möglich. </t>
  </si>
  <si>
    <t>Wer, z. B. der Benutzer des Buchhaltungssystems.</t>
  </si>
  <si>
    <t>Möchte was: Zum Beispiel eine Rechnung ins System eingeben.</t>
  </si>
  <si>
    <t>Hier werden die Akzeptanzkriterien für die User-Story aufgeführt.</t>
  </si>
  <si>
    <t>Reiter Product-Backlog:</t>
  </si>
  <si>
    <t>Errechnet die Anzahl der EPICs.</t>
  </si>
  <si>
    <t>Errechnet die Anzahl der User-Storys.</t>
  </si>
  <si>
    <t>Ermittelt die Anzahl der geplanten Sprints. Dies ist die höchste Zahl in Spalte "Sprint-Nummer".</t>
  </si>
  <si>
    <t>Dies ist ein Eingabefeld für die Anzahl der Arbeitsschritte des Arbeitsprozesses.</t>
  </si>
  <si>
    <t>Errechnet die Anzahl der erfassten User-Storys.</t>
  </si>
  <si>
    <t>Errechnet die Anzahl der User-Storys, die zur Umsetzung bereit sind.</t>
  </si>
  <si>
    <t>Errechnet die Anzahl der User-Storys, die im ersten Bearbeitungs-Schritt stehen.</t>
  </si>
  <si>
    <t>Errechnet die Anzahl der User-Storys, die im zweiten Bearbeitungs-Schritt stehen.</t>
  </si>
  <si>
    <t>Errechnet die Anzahl der User-Storys, die im dritten Bearbeitungs-Schritt stehen.</t>
  </si>
  <si>
    <t>Errechnet die Anzahl der fertiggestellten User-Storys.</t>
  </si>
  <si>
    <t>Errechnet die Anzahl der User-Storys, die während der Bearbeitung des Projektes wieder herausgenommen, gestrichen wurden..</t>
  </si>
  <si>
    <t>Statistik unterhalb des Reiters Product-Backlogs für das Gesamtprojekt</t>
  </si>
  <si>
    <t>Statistik unterhalb des Reiters Product-Backlogs für den Sprint:</t>
  </si>
  <si>
    <t>Nun sind noch einige hybride Kennzahlen aufgeführt.</t>
  </si>
  <si>
    <t>Hierbei handelt es sich um eine einfache Visualisierung des Bearbeitungsstatus und Bearbeitungsflusses der User-Storys im Product-Backlog.</t>
  </si>
  <si>
    <t>Abhängig vom Status der User-Story werden die User-Storys in den entsprehenden Spalten des KANBAN-Boards dargestellt.</t>
  </si>
  <si>
    <t>Reiter Burn-Down- und Burn-Up-Charts:</t>
  </si>
  <si>
    <t>Hier in dem Product-Backlog werden die Burn-Down- und Burn-Up-Charts beispielhalt eingesetzt.</t>
  </si>
  <si>
    <t>Ebenso können die Kennzahlen, z. B. die Informationen zum Forschrittsgrad des Projektes oder zur Velocity für Fortschrittsberichte genutzt werden.</t>
  </si>
  <si>
    <t>Ebenso ist der Arbeitsfortschritt über Burn-Down- und Burn-Up-Charts und weiteren Kennzahlen darstellbar.</t>
  </si>
  <si>
    <t>Hier ist das zum Product-Backlog zugehörige KANBAN-Board dargestellt.</t>
  </si>
  <si>
    <t>So können Anforderungen in einer Zweidimensionalen Struktur dargestellt und verwaltet werden.</t>
  </si>
  <si>
    <t>Die Tabelle ermöglicht das Sortieren nach verschiedenen Kriterien. Zum Beispiel: Zeige mir alle User-Storys zu EPIC x an. Oder: Zeite mir alle User-Storys, die in Sprint y realisiert werden sollen.</t>
  </si>
  <si>
    <t>Die erforderlich Bearbeitungsschritte müssen projektspezifische festgelegt werden.</t>
  </si>
  <si>
    <t>Die User-Story wurde im laufenden Prozess wieder gestrichen.</t>
  </si>
  <si>
    <t>Damit: Die Rechnung im System vorhanden ist und den firmeninternen Kostenrahmenplänen eindeutig zugeordnet ist.</t>
  </si>
  <si>
    <t>Errechnet die Summe der Story-Points des Projektes.</t>
  </si>
  <si>
    <t>Für jeden Sprint erfolgt die Berechnung spezifischer Kennwerte. Soll die Anzahl der Sprints erhöht werden und über die Burn-Down- oder Burn-Up-Charts visualisiert werden, können die Tabellen jeweils für weitere Sprints kopiert und die Berechnungen / Verweise angepasst werden.</t>
  </si>
  <si>
    <t>Zählt die Ansahl der Story-Points, die in dem Sprint realisiert wurden.</t>
  </si>
  <si>
    <t>Zeigt die tatsächlich im Sprint realisierten Anteil der User-Storys im Verhältnis zur Sprint-Planung.</t>
  </si>
  <si>
    <t>Die Beschreibung der Burn-Down- und Burn-Up-Charts finden Sie in der Vorlage "Burndown-Burnup-Charts.xlsx"</t>
  </si>
  <si>
    <t>Sie stellen beispielhaft den Projektstatus zum Ende des dritten Sprints dar.</t>
  </si>
  <si>
    <t>Die Graphiken KANBAN-Board oder Burn-Down- / Burn-Up-Charts können zur Visualisierung des Projektfortschrittes genutzt werden.</t>
  </si>
  <si>
    <t>Product-Backlog</t>
  </si>
  <si>
    <t>Sprint-Backlog</t>
  </si>
  <si>
    <t>Prozessschritt 1</t>
  </si>
  <si>
    <t>Prozessschritt 2</t>
  </si>
  <si>
    <t>Prozessschritt 3</t>
  </si>
  <si>
    <t>done</t>
  </si>
  <si>
    <t>Burn-Up-Chart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</si>
</sst>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 x14ac:knownFonts="1">
    <font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10" borderId="30" applyNumberFormat="0" applyAlignment="0" applyProtection="0"/>
    <xf numFmtId="0" fontId="4" fillId="12" borderId="30" applyNumberFormat="0" applyAlignment="0" applyProtection="0"/>
    <xf numFmtId="0" fontId="4" fillId="3" borderId="33" applyNumberFormat="0" applyAlignment="0" applyProtection="0"/>
  </cellStyleXfs>
  <cellXfs count="1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4" xfId="0" applyFont="1" applyFill="1" applyBorder="1"/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0" fillId="2" borderId="3" xfId="0" applyFill="1" applyBorder="1"/>
    <xf numFmtId="0" fontId="0" fillId="2" borderId="6" xfId="0" applyFill="1" applyBorder="1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" xfId="0" applyFill="1" applyBorder="1"/>
    <xf numFmtId="0" fontId="0" fillId="0" borderId="0" xfId="0" applyAlignment="1">
      <alignment vertical="top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wrapText="1"/>
    </xf>
    <xf numFmtId="0" fontId="0" fillId="2" borderId="9" xfId="0" applyFill="1" applyBorder="1"/>
    <xf numFmtId="164" fontId="0" fillId="2" borderId="9" xfId="0" applyNumberFormat="1" applyFill="1" applyBorder="1" applyAlignment="1">
      <alignment wrapText="1"/>
    </xf>
    <xf numFmtId="164" fontId="0" fillId="2" borderId="9" xfId="0" applyNumberFormat="1" applyFill="1" applyBorder="1"/>
    <xf numFmtId="0" fontId="0" fillId="2" borderId="18" xfId="0" applyFill="1" applyBorder="1"/>
    <xf numFmtId="0" fontId="0" fillId="2" borderId="20" xfId="0" applyFill="1" applyBorder="1"/>
    <xf numFmtId="0" fontId="0" fillId="5" borderId="19" xfId="0" applyFill="1" applyBorder="1"/>
    <xf numFmtId="0" fontId="0" fillId="5" borderId="22" xfId="0" applyFill="1" applyBorder="1"/>
    <xf numFmtId="0" fontId="0" fillId="3" borderId="9" xfId="0" applyFill="1" applyBorder="1"/>
    <xf numFmtId="0" fontId="0" fillId="3" borderId="21" xfId="0" applyFill="1" applyBorder="1"/>
    <xf numFmtId="0" fontId="0" fillId="6" borderId="9" xfId="0" applyFill="1" applyBorder="1"/>
    <xf numFmtId="0" fontId="0" fillId="6" borderId="21" xfId="0" applyFill="1" applyBorder="1"/>
    <xf numFmtId="0" fontId="0" fillId="2" borderId="0" xfId="0" applyFill="1" applyAlignment="1">
      <alignment horizontal="left"/>
    </xf>
    <xf numFmtId="0" fontId="0" fillId="7" borderId="9" xfId="0" applyFill="1" applyBorder="1"/>
    <xf numFmtId="0" fontId="0" fillId="7" borderId="21" xfId="0" applyFill="1" applyBorder="1"/>
    <xf numFmtId="0" fontId="0" fillId="0" borderId="0" xfId="0" applyAlignment="1">
      <alignment vertical="center"/>
    </xf>
    <xf numFmtId="0" fontId="4" fillId="10" borderId="31" xfId="1" applyBorder="1"/>
    <xf numFmtId="0" fontId="4" fillId="10" borderId="32" xfId="1" applyBorder="1"/>
    <xf numFmtId="0" fontId="4" fillId="7" borderId="18" xfId="1" applyFill="1" applyBorder="1"/>
    <xf numFmtId="0" fontId="4" fillId="7" borderId="19" xfId="1" applyFill="1" applyBorder="1"/>
    <xf numFmtId="0" fontId="4" fillId="11" borderId="18" xfId="1" applyFill="1" applyBorder="1"/>
    <xf numFmtId="0" fontId="4" fillId="11" borderId="19" xfId="1" applyFill="1" applyBorder="1"/>
    <xf numFmtId="0" fontId="4" fillId="12" borderId="18" xfId="2" applyBorder="1"/>
    <xf numFmtId="0" fontId="4" fillId="12" borderId="19" xfId="2" applyBorder="1"/>
    <xf numFmtId="0" fontId="4" fillId="3" borderId="20" xfId="3" applyBorder="1"/>
    <xf numFmtId="0" fontId="4" fillId="3" borderId="22" xfId="3" applyBorder="1"/>
    <xf numFmtId="0" fontId="2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35" xfId="0" applyBorder="1" applyAlignment="1">
      <alignment vertical="top" wrapText="1"/>
    </xf>
    <xf numFmtId="2" fontId="0" fillId="2" borderId="9" xfId="0" applyNumberFormat="1" applyFill="1" applyBorder="1"/>
    <xf numFmtId="0" fontId="0" fillId="2" borderId="9" xfId="0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0" fillId="10" borderId="26" xfId="0" applyFill="1" applyBorder="1" applyAlignment="1">
      <alignment horizontal="right"/>
    </xf>
    <xf numFmtId="0" fontId="3" fillId="13" borderId="36" xfId="0" applyFont="1" applyFill="1" applyBorder="1" applyAlignment="1">
      <alignment horizontal="left"/>
    </xf>
    <xf numFmtId="0" fontId="0" fillId="13" borderId="27" xfId="0" applyFill="1" applyBorder="1" applyAlignment="1">
      <alignment wrapText="1"/>
    </xf>
    <xf numFmtId="0" fontId="0" fillId="13" borderId="28" xfId="0" applyFill="1" applyBorder="1" applyAlignment="1">
      <alignment horizontal="center"/>
    </xf>
    <xf numFmtId="0" fontId="3" fillId="13" borderId="28" xfId="0" applyFont="1" applyFill="1" applyBorder="1" applyAlignment="1">
      <alignment horizontal="left"/>
    </xf>
    <xf numFmtId="0" fontId="0" fillId="13" borderId="29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1" xfId="0" applyFill="1" applyBorder="1" applyAlignment="1">
      <alignment wrapText="1"/>
    </xf>
    <xf numFmtId="0" fontId="0" fillId="2" borderId="11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wrapText="1"/>
    </xf>
    <xf numFmtId="0" fontId="0" fillId="2" borderId="21" xfId="0" applyFill="1" applyBorder="1" applyAlignment="1">
      <alignment horizontal="center"/>
    </xf>
    <xf numFmtId="0" fontId="0" fillId="2" borderId="21" xfId="0" applyFill="1" applyBorder="1" applyAlignment="1">
      <alignment horizontal="left"/>
    </xf>
    <xf numFmtId="0" fontId="0" fillId="14" borderId="0" xfId="0" applyFill="1"/>
    <xf numFmtId="0" fontId="0" fillId="14" borderId="0" xfId="0" applyFill="1" applyAlignment="1">
      <alignment horizontal="center"/>
    </xf>
    <xf numFmtId="0" fontId="3" fillId="13" borderId="4" xfId="0" applyFont="1" applyFill="1" applyBorder="1" applyAlignment="1">
      <alignment horizontal="left"/>
    </xf>
    <xf numFmtId="0" fontId="0" fillId="13" borderId="3" xfId="0" applyFill="1" applyBorder="1" applyAlignment="1">
      <alignment horizontal="left"/>
    </xf>
    <xf numFmtId="0" fontId="3" fillId="13" borderId="27" xfId="0" applyFont="1" applyFill="1" applyBorder="1" applyAlignment="1">
      <alignment horizontal="left"/>
    </xf>
    <xf numFmtId="0" fontId="0" fillId="13" borderId="29" xfId="0" applyFill="1" applyBorder="1" applyAlignment="1">
      <alignment wrapText="1"/>
    </xf>
    <xf numFmtId="0" fontId="3" fillId="14" borderId="0" xfId="0" applyFont="1" applyFill="1"/>
    <xf numFmtId="0" fontId="0" fillId="14" borderId="0" xfId="0" applyFill="1" applyAlignment="1">
      <alignment horizontal="left"/>
    </xf>
    <xf numFmtId="0" fontId="3" fillId="14" borderId="0" xfId="0" applyFont="1" applyFill="1" applyAlignment="1">
      <alignment horizontal="left"/>
    </xf>
    <xf numFmtId="0" fontId="0" fillId="8" borderId="9" xfId="0" applyFill="1" applyBorder="1"/>
    <xf numFmtId="0" fontId="0" fillId="9" borderId="9" xfId="0" applyFill="1" applyBorder="1"/>
    <xf numFmtId="0" fontId="0" fillId="8" borderId="21" xfId="0" applyFill="1" applyBorder="1"/>
    <xf numFmtId="0" fontId="0" fillId="9" borderId="21" xfId="0" applyFill="1" applyBorder="1"/>
    <xf numFmtId="0" fontId="3" fillId="0" borderId="0" xfId="0" applyFont="1"/>
    <xf numFmtId="0" fontId="0" fillId="10" borderId="9" xfId="0" applyFill="1" applyBorder="1"/>
    <xf numFmtId="0" fontId="0" fillId="13" borderId="31" xfId="0" applyFill="1" applyBorder="1"/>
    <xf numFmtId="0" fontId="3" fillId="13" borderId="34" xfId="0" applyFont="1" applyFill="1" applyBorder="1"/>
    <xf numFmtId="0" fontId="0" fillId="13" borderId="34" xfId="0" applyFill="1" applyBorder="1"/>
    <xf numFmtId="0" fontId="0" fillId="13" borderId="32" xfId="0" applyFill="1" applyBorder="1"/>
    <xf numFmtId="0" fontId="0" fillId="13" borderId="18" xfId="0" applyFill="1" applyBorder="1"/>
    <xf numFmtId="0" fontId="0" fillId="13" borderId="19" xfId="0" applyFill="1" applyBorder="1"/>
    <xf numFmtId="0" fontId="0" fillId="13" borderId="20" xfId="0" applyFill="1" applyBorder="1"/>
    <xf numFmtId="0" fontId="0" fillId="13" borderId="21" xfId="0" applyFill="1" applyBorder="1"/>
    <xf numFmtId="0" fontId="0" fillId="13" borderId="22" xfId="0" applyFill="1" applyBorder="1"/>
    <xf numFmtId="0" fontId="1" fillId="4" borderId="4" xfId="0" applyFont="1" applyFill="1" applyBorder="1"/>
    <xf numFmtId="0" fontId="0" fillId="4" borderId="5" xfId="0" applyFill="1" applyBorder="1" applyAlignment="1">
      <alignment wrapText="1"/>
    </xf>
    <xf numFmtId="0" fontId="0" fillId="4" borderId="5" xfId="0" applyFill="1" applyBorder="1"/>
    <xf numFmtId="0" fontId="0" fillId="4" borderId="3" xfId="0" applyFill="1" applyBorder="1"/>
    <xf numFmtId="0" fontId="0" fillId="4" borderId="6" xfId="0" applyFill="1" applyBorder="1"/>
    <xf numFmtId="0" fontId="0" fillId="4" borderId="2" xfId="0" applyFill="1" applyBorder="1"/>
    <xf numFmtId="0" fontId="0" fillId="4" borderId="7" xfId="0" applyFill="1" applyBorder="1"/>
    <xf numFmtId="0" fontId="0" fillId="4" borderId="8" xfId="0" applyFill="1" applyBorder="1" applyAlignment="1">
      <alignment wrapText="1"/>
    </xf>
    <xf numFmtId="0" fontId="0" fillId="4" borderId="8" xfId="0" applyFill="1" applyBorder="1"/>
    <xf numFmtId="0" fontId="0" fillId="4" borderId="1" xfId="0" applyFill="1" applyBorder="1"/>
    <xf numFmtId="0" fontId="0" fillId="4" borderId="0" xfId="0" applyFill="1"/>
    <xf numFmtId="0" fontId="0" fillId="15" borderId="9" xfId="0" applyFill="1" applyBorder="1"/>
    <xf numFmtId="0" fontId="0" fillId="13" borderId="37" xfId="0" applyFill="1" applyBorder="1"/>
    <xf numFmtId="0" fontId="0" fillId="2" borderId="16" xfId="0" applyFill="1" applyBorder="1"/>
    <xf numFmtId="2" fontId="0" fillId="15" borderId="16" xfId="0" applyNumberFormat="1" applyFill="1" applyBorder="1"/>
    <xf numFmtId="0" fontId="0" fillId="13" borderId="38" xfId="0" applyFill="1" applyBorder="1"/>
    <xf numFmtId="1" fontId="0" fillId="15" borderId="16" xfId="0" applyNumberFormat="1" applyFill="1" applyBorder="1"/>
    <xf numFmtId="0" fontId="0" fillId="2" borderId="39" xfId="0" applyFill="1" applyBorder="1"/>
    <xf numFmtId="0" fontId="0" fillId="7" borderId="11" xfId="0" applyFill="1" applyBorder="1"/>
    <xf numFmtId="0" fontId="0" fillId="6" borderId="11" xfId="0" applyFill="1" applyBorder="1"/>
    <xf numFmtId="0" fontId="0" fillId="3" borderId="11" xfId="0" applyFill="1" applyBorder="1"/>
    <xf numFmtId="0" fontId="0" fillId="8" borderId="11" xfId="0" applyFill="1" applyBorder="1"/>
    <xf numFmtId="0" fontId="0" fillId="9" borderId="11" xfId="0" applyFill="1" applyBorder="1"/>
    <xf numFmtId="0" fontId="0" fillId="5" borderId="26" xfId="0" applyFill="1" applyBorder="1"/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0" fillId="15" borderId="11" xfId="0" applyFill="1" applyBorder="1" applyAlignment="1">
      <alignment horizontal="center"/>
    </xf>
    <xf numFmtId="0" fontId="0" fillId="15" borderId="9" xfId="0" applyFill="1" applyBorder="1" applyAlignment="1">
      <alignment horizontal="center"/>
    </xf>
    <xf numFmtId="0" fontId="0" fillId="15" borderId="19" xfId="0" applyFill="1" applyBorder="1" applyAlignment="1">
      <alignment horizontal="right"/>
    </xf>
    <xf numFmtId="0" fontId="0" fillId="15" borderId="22" xfId="0" applyFill="1" applyBorder="1" applyAlignment="1">
      <alignment horizontal="right"/>
    </xf>
    <xf numFmtId="0" fontId="0" fillId="15" borderId="19" xfId="0" applyFill="1" applyBorder="1" applyAlignment="1">
      <alignment horizontal="left"/>
    </xf>
    <xf numFmtId="2" fontId="0" fillId="15" borderId="19" xfId="0" applyNumberFormat="1" applyFill="1" applyBorder="1" applyAlignment="1">
      <alignment horizontal="left"/>
    </xf>
    <xf numFmtId="10" fontId="0" fillId="15" borderId="19" xfId="0" applyNumberFormat="1" applyFill="1" applyBorder="1" applyAlignment="1">
      <alignment horizontal="left" wrapText="1"/>
    </xf>
    <xf numFmtId="10" fontId="0" fillId="15" borderId="22" xfId="0" applyNumberFormat="1" applyFill="1" applyBorder="1" applyAlignment="1">
      <alignment horizontal="left" wrapText="1"/>
    </xf>
    <xf numFmtId="0" fontId="6" fillId="16" borderId="4" xfId="0" applyFont="1" applyFill="1" applyBorder="1" applyAlignment="1">
      <alignment horizontal="center"/>
    </xf>
    <xf numFmtId="0" fontId="6" fillId="16" borderId="5" xfId="0" applyFont="1" applyFill="1" applyBorder="1" applyAlignment="1">
      <alignment horizontal="center"/>
    </xf>
    <xf numFmtId="0" fontId="6" fillId="16" borderId="3" xfId="0" applyFont="1" applyFill="1" applyBorder="1" applyAlignment="1">
      <alignment horizontal="center"/>
    </xf>
    <xf numFmtId="0" fontId="7" fillId="16" borderId="7" xfId="0" applyFont="1" applyFill="1" applyBorder="1" applyAlignment="1">
      <alignment horizontal="center"/>
    </xf>
    <xf numFmtId="0" fontId="7" fillId="16" borderId="8" xfId="0" applyFont="1" applyFill="1" applyBorder="1" applyAlignment="1">
      <alignment horizontal="center"/>
    </xf>
    <xf numFmtId="0" fontId="0" fillId="16" borderId="8" xfId="0" applyFill="1" applyBorder="1"/>
    <xf numFmtId="0" fontId="0" fillId="16" borderId="1" xfId="0" applyFill="1" applyBorder="1"/>
  </cellXfs>
  <cellStyles count="4">
    <cellStyle name="Berechnung 2" xfId="2" xr:uid="{CD13D3E2-26CA-42F6-8CC4-2BEFA169FFCA}"/>
    <cellStyle name="Eingabe 2" xfId="1" xr:uid="{C6AF69EE-E4DE-4975-8FC6-62060BBACC89}"/>
    <cellStyle name="Standard" xfId="0" builtinId="0"/>
    <cellStyle name="Verknüpfte Zelle 2" xfId="3" xr:uid="{6C415D27-04DC-4CAD-9007-252F372415A9}"/>
  </cellStyles>
  <dxfs count="43"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164" formatCode="#,##0\ &quot;€&quot;"/>
      <fill>
        <patternFill patternType="solid">
          <fgColor indexed="64"/>
          <bgColor theme="0" tint="-4.9989318521683403E-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2" formatCode="0.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>
        <bottom style="thin">
          <color indexed="64"/>
        </bottom>
      </border>
    </dxf>
    <dxf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(US)'!$I$18</c:f>
              <c:strCache>
                <c:ptCount val="1"/>
                <c:pt idx="0">
                  <c:v>Restmenge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(US)'!$J$18:$O$18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7-40C1-B330-D0DCB597AF14}"/>
            </c:ext>
          </c:extLst>
        </c:ser>
        <c:ser>
          <c:idx val="3"/>
          <c:order val="3"/>
          <c:tx>
            <c:strRef>
              <c:f>'Burn-Down-Chart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(US)'!$J$17:$O$17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7-40C1-B330-D0DCB597AF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(US)'!$J$15:$O$15</c:f>
              <c:numCache>
                <c:formatCode>General</c:formatCode>
                <c:ptCount val="6"/>
                <c:pt idx="0">
                  <c:v>25</c:v>
                </c:pt>
                <c:pt idx="1">
                  <c:v>25</c:v>
                </c:pt>
                <c:pt idx="2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D7-40C1-B330-D0DCB597AF14}"/>
            </c:ext>
          </c:extLst>
        </c:ser>
        <c:ser>
          <c:idx val="2"/>
          <c:order val="2"/>
          <c:tx>
            <c:strRef>
              <c:f>'Burn-Down-Chart (US)'!$I$19</c:f>
              <c:strCache>
                <c:ptCount val="1"/>
                <c:pt idx="0">
                  <c:v>Verlauf User-Storys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(US)'!$J$19:$O$19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D7-40C1-B330-D0DCB597AF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(US)'!$J$17:$O$17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B-4ACD-A897-B17BFB826055}"/>
            </c:ext>
          </c:extLst>
        </c:ser>
        <c:ser>
          <c:idx val="1"/>
          <c:order val="2"/>
          <c:tx>
            <c:strRef>
              <c:f>'Burn-Up-Chart (US)'!$I$16</c:f>
              <c:strCache>
                <c:ptCount val="1"/>
                <c:pt idx="0">
                  <c:v>Summe realisierte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(US)'!$J$16:$O$16</c:f>
              <c:numCache>
                <c:formatCode>General</c:formatCode>
                <c:ptCount val="6"/>
                <c:pt idx="0">
                  <c:v>4</c:v>
                </c:pt>
                <c:pt idx="1">
                  <c:v>8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4B-4ACD-A897-B17BFB826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(US)'!$J$15:$O$15</c:f>
              <c:numCache>
                <c:formatCode>General</c:formatCode>
                <c:ptCount val="6"/>
                <c:pt idx="0">
                  <c:v>25</c:v>
                </c:pt>
                <c:pt idx="1">
                  <c:v>25</c:v>
                </c:pt>
                <c:pt idx="2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4B-4ACD-A897-B17BFB826055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(US)'!$J$16:$O$16</c:f>
              <c:numCache>
                <c:formatCode>General</c:formatCode>
                <c:ptCount val="6"/>
                <c:pt idx="0">
                  <c:v>4</c:v>
                </c:pt>
                <c:pt idx="1">
                  <c:v>8</c:v>
                </c:pt>
                <c:pt idx="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4B-4ACD-A897-B17BFB826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(SP)'!$I$18</c:f>
              <c:strCache>
                <c:ptCount val="1"/>
                <c:pt idx="0">
                  <c:v>Restmenge Story-Point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(SP)'!$J$18:$O$18</c:f>
              <c:numCache>
                <c:formatCode>General</c:formatCode>
                <c:ptCount val="6"/>
                <c:pt idx="0">
                  <c:v>205</c:v>
                </c:pt>
                <c:pt idx="1">
                  <c:v>174</c:v>
                </c:pt>
                <c:pt idx="2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2-4170-971A-3B76FF57613F}"/>
            </c:ext>
          </c:extLst>
        </c:ser>
        <c:ser>
          <c:idx val="3"/>
          <c:order val="3"/>
          <c:tx>
            <c:strRef>
              <c:f>'Burn-Down-Chart (SP)'!$I$17</c:f>
              <c:strCache>
                <c:ptCount val="1"/>
                <c:pt idx="0">
                  <c:v>Realisierte Story-Point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(SP)'!$J$17:$O$17</c:f>
              <c:numCache>
                <c:formatCode>General</c:formatCode>
                <c:ptCount val="6"/>
                <c:pt idx="0">
                  <c:v>37</c:v>
                </c:pt>
                <c:pt idx="1">
                  <c:v>31</c:v>
                </c:pt>
                <c:pt idx="2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12-4170-971A-3B76FF5761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(SP)'!$J$15:$O$15</c:f>
              <c:numCache>
                <c:formatCode>General</c:formatCode>
                <c:ptCount val="6"/>
                <c:pt idx="0">
                  <c:v>242</c:v>
                </c:pt>
                <c:pt idx="1">
                  <c:v>242</c:v>
                </c:pt>
                <c:pt idx="2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2-4170-971A-3B76FF57613F}"/>
            </c:ext>
          </c:extLst>
        </c:ser>
        <c:ser>
          <c:idx val="2"/>
          <c:order val="2"/>
          <c:tx>
            <c:strRef>
              <c:f>'Burn-Down-Chart (SP)'!$I$19</c:f>
              <c:strCache>
                <c:ptCount val="1"/>
                <c:pt idx="0">
                  <c:v>Verlauf Story-Point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(SP)'!$J$19:$O$19</c:f>
              <c:numCache>
                <c:formatCode>General</c:formatCode>
                <c:ptCount val="6"/>
                <c:pt idx="0">
                  <c:v>205</c:v>
                </c:pt>
                <c:pt idx="1">
                  <c:v>174</c:v>
                </c:pt>
                <c:pt idx="2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2-4170-971A-3B76FF5761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(SP)'!$I$17</c:f>
              <c:strCache>
                <c:ptCount val="1"/>
                <c:pt idx="0">
                  <c:v>Realisierte Story-Points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(SP)'!$J$17:$O$17</c:f>
              <c:numCache>
                <c:formatCode>General</c:formatCode>
                <c:ptCount val="6"/>
                <c:pt idx="0">
                  <c:v>37</c:v>
                </c:pt>
                <c:pt idx="1">
                  <c:v>31</c:v>
                </c:pt>
                <c:pt idx="2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7-4082-972C-C6A3A8FEE08C}"/>
            </c:ext>
          </c:extLst>
        </c:ser>
        <c:ser>
          <c:idx val="1"/>
          <c:order val="2"/>
          <c:tx>
            <c:strRef>
              <c:f>'Burn-Up-Chart (SP)'!$I$16</c:f>
              <c:strCache>
                <c:ptCount val="1"/>
                <c:pt idx="0">
                  <c:v>Summe realisierte Story-Points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(SP)'!$J$16:$O$16</c:f>
              <c:numCache>
                <c:formatCode>General</c:formatCode>
                <c:ptCount val="6"/>
                <c:pt idx="0">
                  <c:v>37</c:v>
                </c:pt>
                <c:pt idx="1">
                  <c:v>68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47-4082-972C-C6A3A8FE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(SP)'!$J$15:$O$15</c:f>
              <c:numCache>
                <c:formatCode>General</c:formatCode>
                <c:ptCount val="6"/>
                <c:pt idx="0">
                  <c:v>242</c:v>
                </c:pt>
                <c:pt idx="1">
                  <c:v>242</c:v>
                </c:pt>
                <c:pt idx="2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47-4082-972C-C6A3A8FEE08C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(SP)'!$J$16:$O$16</c:f>
              <c:numCache>
                <c:formatCode>General</c:formatCode>
                <c:ptCount val="6"/>
                <c:pt idx="0">
                  <c:v>37</c:v>
                </c:pt>
                <c:pt idx="1">
                  <c:v>68</c:v>
                </c:pt>
                <c:pt idx="2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47-4082-972C-C6A3A8FE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23</xdr:row>
      <xdr:rowOff>180974</xdr:rowOff>
    </xdr:from>
    <xdr:to>
      <xdr:col>12</xdr:col>
      <xdr:colOff>381000</xdr:colOff>
      <xdr:row>47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9A00830-3A68-4F48-BC25-C841CFD4A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8B579DC-6CDD-4E5A-9B27-CE56817DD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19049</xdr:rowOff>
    </xdr:from>
    <xdr:to>
      <xdr:col>12</xdr:col>
      <xdr:colOff>390525</xdr:colOff>
      <xdr:row>47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20C1EBC-1EF7-4FF9-A723-4C1E64BF9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20A1F08-7E08-4A2B-B0FD-B2CDC3F174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le3" displayName="Tabelle3" ref="B10:F25" totalsRowShown="0" headerRowDxfId="42" headerRowBorderDxfId="41" tableBorderDxfId="40" totalsRowBorderDxfId="39">
  <autoFilter ref="B10:F25" xr:uid="{00000000-0009-0000-0100-000005000000}"/>
  <tableColumns count="5">
    <tableColumn id="1" xr3:uid="{00000000-0010-0000-0000-000001000000}" name="Version" dataDxfId="38"/>
    <tableColumn id="2" xr3:uid="{00000000-0010-0000-0000-000002000000}" name="Datum" dataDxfId="37"/>
    <tableColumn id="3" xr3:uid="{00000000-0010-0000-0000-000003000000}" name="Name" dataDxfId="36"/>
    <tableColumn id="4" xr3:uid="{00000000-0010-0000-0000-000004000000}" name="Änderung" dataDxfId="35"/>
    <tableColumn id="5" xr3:uid="{00000000-0010-0000-0000-000005000000}" name="Status" dataDxfId="34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C9:P39" totalsRowShown="0" headerRowDxfId="33" dataDxfId="31" totalsRowDxfId="29" headerRowBorderDxfId="32" tableBorderDxfId="30" totalsRowBorderDxfId="28">
  <autoFilter ref="C9:P39" xr:uid="{00000000-0009-0000-0100-000001000000}"/>
  <tableColumns count="14">
    <tableColumn id="1" xr3:uid="{00000000-0010-0000-0100-000001000000}" name="Lauf. Nr." dataDxfId="27" totalsRowDxfId="26"/>
    <tableColumn id="11" xr3:uid="{00000000-0010-0000-0100-00000B000000}" name="EPIC-Nr." dataDxfId="25" totalsRowDxfId="24"/>
    <tableColumn id="3" xr3:uid="{00000000-0010-0000-0100-000003000000}" name="EPIC-Name" dataDxfId="23" totalsRowDxfId="22"/>
    <tableColumn id="4" xr3:uid="{00000000-0010-0000-0100-000004000000}" name="User-Story-Nr." dataDxfId="21" totalsRowDxfId="20"/>
    <tableColumn id="5" xr3:uid="{00000000-0010-0000-0100-000005000000}" name="User-Story-Name" dataDxfId="19" totalsRowDxfId="18"/>
    <tableColumn id="12" xr3:uid="{00000000-0010-0000-0100-00000C000000}" name="Story-Points" dataDxfId="17" totalsRowDxfId="16"/>
    <tableColumn id="10" xr3:uid="{00000000-0010-0000-0100-00000A000000}" name="Priorität_x000a_" dataDxfId="15" totalsRowDxfId="14"/>
    <tableColumn id="9" xr3:uid="{00000000-0010-0000-0100-000009000000}" name="Sprint Nr." dataDxfId="13" totalsRowDxfId="12"/>
    <tableColumn id="7" xr3:uid="{00000000-0010-0000-0100-000007000000}" name="Status" dataDxfId="11" totalsRowDxfId="10"/>
    <tableColumn id="15" xr3:uid="{1A937A84-AE24-4032-B38B-F9DF786F1A83}" name="Wer_x000a_Als &quot;Rollenbezeichnung&quot;" dataDxfId="9" totalsRowDxfId="8"/>
    <tableColumn id="6" xr3:uid="{00000000-0010-0000-0100-000006000000}" name="Was_x000a_möchte ich" dataDxfId="7" totalsRowDxfId="6"/>
    <tableColumn id="13" xr3:uid="{00000000-0010-0000-0100-00000D000000}" name="Warum, wozu_x000a_so dass, damit" dataDxfId="5" totalsRowDxfId="4"/>
    <tableColumn id="14" xr3:uid="{7C8683B3-1232-4364-BE47-CF21831A7B06}" name="Akzeptanzkriterien" dataDxfId="3" totalsRowDxfId="2"/>
    <tableColumn id="8" xr3:uid="{00000000-0010-0000-0100-000008000000}" name="Bemerkungen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O86"/>
  <sheetViews>
    <sheetView tabSelected="1" zoomScaleNormal="100" workbookViewId="0">
      <selection activeCell="A2" sqref="A2"/>
    </sheetView>
  </sheetViews>
  <sheetFormatPr baseColWidth="10" defaultColWidth="9.08984375" defaultRowHeight="14.5" x14ac:dyDescent="0.35"/>
  <cols>
    <col min="1" max="1" width="3.453125" customWidth="1"/>
    <col min="2" max="2" width="8" customWidth="1"/>
    <col min="3" max="3" width="25.54296875" customWidth="1"/>
    <col min="4" max="4" width="9.6328125" customWidth="1"/>
  </cols>
  <sheetData>
    <row r="1" spans="1:6" x14ac:dyDescent="0.35">
      <c r="A1" t="s">
        <v>20</v>
      </c>
    </row>
    <row r="2" spans="1:6" ht="18.5" x14ac:dyDescent="0.45">
      <c r="B2" s="2" t="s">
        <v>29</v>
      </c>
      <c r="D2" s="2" t="s">
        <v>185</v>
      </c>
    </row>
    <row r="5" spans="1:6" ht="18.5" x14ac:dyDescent="0.45">
      <c r="B5" s="2" t="s">
        <v>1</v>
      </c>
    </row>
    <row r="6" spans="1:6" x14ac:dyDescent="0.35">
      <c r="C6" t="s">
        <v>2</v>
      </c>
      <c r="F6" t="s">
        <v>183</v>
      </c>
    </row>
    <row r="7" spans="1:6" x14ac:dyDescent="0.35">
      <c r="F7" t="s">
        <v>184</v>
      </c>
    </row>
    <row r="8" spans="1:6" x14ac:dyDescent="0.35">
      <c r="F8" t="s">
        <v>240</v>
      </c>
    </row>
    <row r="10" spans="1:6" x14ac:dyDescent="0.35">
      <c r="C10" t="s">
        <v>30</v>
      </c>
      <c r="F10" t="s">
        <v>31</v>
      </c>
    </row>
    <row r="11" spans="1:6" x14ac:dyDescent="0.35">
      <c r="C11" t="s">
        <v>186</v>
      </c>
      <c r="F11" t="s">
        <v>196</v>
      </c>
    </row>
    <row r="12" spans="1:6" x14ac:dyDescent="0.35">
      <c r="C12" t="s">
        <v>187</v>
      </c>
      <c r="F12" s="52" t="s">
        <v>241</v>
      </c>
    </row>
    <row r="13" spans="1:6" x14ac:dyDescent="0.35">
      <c r="C13" t="s">
        <v>188</v>
      </c>
      <c r="F13" t="s">
        <v>192</v>
      </c>
    </row>
    <row r="14" spans="1:6" x14ac:dyDescent="0.35">
      <c r="C14" t="s">
        <v>189</v>
      </c>
      <c r="F14" t="s">
        <v>193</v>
      </c>
    </row>
    <row r="15" spans="1:6" x14ac:dyDescent="0.35">
      <c r="C15" t="s">
        <v>190</v>
      </c>
      <c r="F15" t="s">
        <v>194</v>
      </c>
    </row>
    <row r="16" spans="1:6" x14ac:dyDescent="0.35">
      <c r="C16" t="s">
        <v>191</v>
      </c>
      <c r="F16" t="s">
        <v>195</v>
      </c>
    </row>
    <row r="17" spans="2:14" x14ac:dyDescent="0.35">
      <c r="F17" s="52"/>
    </row>
    <row r="18" spans="2:14" ht="18.5" x14ac:dyDescent="0.45">
      <c r="B18" s="2" t="s">
        <v>220</v>
      </c>
      <c r="F18" s="52"/>
    </row>
    <row r="19" spans="2:14" x14ac:dyDescent="0.35">
      <c r="C19" s="52" t="s">
        <v>58</v>
      </c>
      <c r="F19" t="s">
        <v>197</v>
      </c>
    </row>
    <row r="20" spans="2:14" x14ac:dyDescent="0.35">
      <c r="C20" t="s">
        <v>57</v>
      </c>
      <c r="F20" s="52" t="s">
        <v>198</v>
      </c>
    </row>
    <row r="21" spans="2:14" x14ac:dyDescent="0.35">
      <c r="C21" t="s">
        <v>56</v>
      </c>
      <c r="F21" s="52" t="s">
        <v>242</v>
      </c>
    </row>
    <row r="22" spans="2:14" x14ac:dyDescent="0.35">
      <c r="C22" t="s">
        <v>55</v>
      </c>
      <c r="F22" s="52" t="s">
        <v>243</v>
      </c>
    </row>
    <row r="23" spans="2:14" x14ac:dyDescent="0.35">
      <c r="C23" t="s">
        <v>54</v>
      </c>
      <c r="F23" s="52"/>
    </row>
    <row r="24" spans="2:14" x14ac:dyDescent="0.35">
      <c r="C24" t="s">
        <v>53</v>
      </c>
      <c r="F24" s="52" t="s">
        <v>203</v>
      </c>
    </row>
    <row r="25" spans="2:14" x14ac:dyDescent="0.35">
      <c r="C25" t="s">
        <v>52</v>
      </c>
      <c r="F25" s="52" t="s">
        <v>204</v>
      </c>
    </row>
    <row r="26" spans="2:14" x14ac:dyDescent="0.35">
      <c r="C26" t="s">
        <v>51</v>
      </c>
      <c r="F26" s="52" t="s">
        <v>205</v>
      </c>
    </row>
    <row r="27" spans="2:14" x14ac:dyDescent="0.35">
      <c r="C27" t="s">
        <v>0</v>
      </c>
      <c r="F27" s="52" t="s">
        <v>206</v>
      </c>
    </row>
    <row r="28" spans="2:14" x14ac:dyDescent="0.35">
      <c r="D28" t="s">
        <v>207</v>
      </c>
      <c r="F28" s="52" t="s">
        <v>208</v>
      </c>
    </row>
    <row r="29" spans="2:14" x14ac:dyDescent="0.35">
      <c r="D29" t="s">
        <v>22</v>
      </c>
      <c r="F29" s="52" t="s">
        <v>209</v>
      </c>
    </row>
    <row r="30" spans="2:14" x14ac:dyDescent="0.35">
      <c r="D30" t="s">
        <v>23</v>
      </c>
      <c r="F30" s="52" t="s">
        <v>210</v>
      </c>
      <c r="N30" t="s">
        <v>215</v>
      </c>
    </row>
    <row r="31" spans="2:14" x14ac:dyDescent="0.35">
      <c r="D31" t="s">
        <v>24</v>
      </c>
      <c r="F31" s="52" t="s">
        <v>211</v>
      </c>
      <c r="N31" t="s">
        <v>244</v>
      </c>
    </row>
    <row r="32" spans="2:14" x14ac:dyDescent="0.35">
      <c r="D32" t="s">
        <v>25</v>
      </c>
      <c r="F32" s="52" t="s">
        <v>212</v>
      </c>
    </row>
    <row r="33" spans="2:15" x14ac:dyDescent="0.35">
      <c r="D33" t="s">
        <v>214</v>
      </c>
      <c r="F33" s="52" t="s">
        <v>213</v>
      </c>
    </row>
    <row r="34" spans="2:15" x14ac:dyDescent="0.35">
      <c r="D34" t="s">
        <v>27</v>
      </c>
      <c r="F34" s="52" t="s">
        <v>245</v>
      </c>
    </row>
    <row r="35" spans="2:15" x14ac:dyDescent="0.35">
      <c r="C35" t="s">
        <v>199</v>
      </c>
      <c r="F35" s="52" t="s">
        <v>216</v>
      </c>
      <c r="O35" t="s">
        <v>217</v>
      </c>
    </row>
    <row r="36" spans="2:15" x14ac:dyDescent="0.35">
      <c r="C36" t="s">
        <v>200</v>
      </c>
      <c r="F36" t="s">
        <v>218</v>
      </c>
    </row>
    <row r="37" spans="2:15" x14ac:dyDescent="0.35">
      <c r="C37" t="s">
        <v>201</v>
      </c>
      <c r="F37" t="s">
        <v>246</v>
      </c>
    </row>
    <row r="38" spans="2:15" x14ac:dyDescent="0.35">
      <c r="C38" t="s">
        <v>47</v>
      </c>
      <c r="F38" s="52" t="s">
        <v>219</v>
      </c>
    </row>
    <row r="39" spans="2:15" x14ac:dyDescent="0.35">
      <c r="C39" t="s">
        <v>46</v>
      </c>
      <c r="F39" s="52" t="s">
        <v>202</v>
      </c>
    </row>
    <row r="40" spans="2:15" x14ac:dyDescent="0.35">
      <c r="F40" s="52"/>
    </row>
    <row r="41" spans="2:15" ht="18.5" x14ac:dyDescent="0.45">
      <c r="B41" s="2" t="s">
        <v>232</v>
      </c>
      <c r="F41" s="52"/>
    </row>
    <row r="42" spans="2:15" x14ac:dyDescent="0.35">
      <c r="C42" t="s">
        <v>77</v>
      </c>
      <c r="F42" s="52" t="s">
        <v>221</v>
      </c>
    </row>
    <row r="43" spans="2:15" x14ac:dyDescent="0.35">
      <c r="C43" t="s">
        <v>79</v>
      </c>
      <c r="F43" s="52" t="s">
        <v>222</v>
      </c>
    </row>
    <row r="44" spans="2:15" x14ac:dyDescent="0.35">
      <c r="C44" t="s">
        <v>81</v>
      </c>
      <c r="F44" s="52" t="s">
        <v>247</v>
      </c>
    </row>
    <row r="45" spans="2:15" x14ac:dyDescent="0.35">
      <c r="C45" t="s">
        <v>83</v>
      </c>
      <c r="F45" s="52" t="s">
        <v>223</v>
      </c>
    </row>
    <row r="46" spans="2:15" x14ac:dyDescent="0.35">
      <c r="C46" t="s">
        <v>78</v>
      </c>
      <c r="F46" s="52" t="s">
        <v>224</v>
      </c>
    </row>
    <row r="47" spans="2:15" x14ac:dyDescent="0.35">
      <c r="C47" t="s">
        <v>80</v>
      </c>
      <c r="F47" s="52" t="s">
        <v>225</v>
      </c>
    </row>
    <row r="48" spans="2:15" x14ac:dyDescent="0.35">
      <c r="C48" t="s">
        <v>82</v>
      </c>
      <c r="F48" s="52" t="s">
        <v>226</v>
      </c>
    </row>
    <row r="49" spans="2:6" x14ac:dyDescent="0.35">
      <c r="C49" t="s">
        <v>84</v>
      </c>
      <c r="F49" s="52" t="s">
        <v>227</v>
      </c>
    </row>
    <row r="50" spans="2:6" x14ac:dyDescent="0.35">
      <c r="C50" t="s">
        <v>85</v>
      </c>
      <c r="F50" s="52" t="s">
        <v>228</v>
      </c>
    </row>
    <row r="51" spans="2:6" x14ac:dyDescent="0.35">
      <c r="C51" t="s">
        <v>86</v>
      </c>
      <c r="F51" s="52" t="s">
        <v>229</v>
      </c>
    </row>
    <row r="52" spans="2:6" x14ac:dyDescent="0.35">
      <c r="C52" t="s">
        <v>87</v>
      </c>
      <c r="F52" s="52" t="s">
        <v>230</v>
      </c>
    </row>
    <row r="53" spans="2:6" x14ac:dyDescent="0.35">
      <c r="C53" t="s">
        <v>88</v>
      </c>
      <c r="F53" s="52" t="s">
        <v>231</v>
      </c>
    </row>
    <row r="54" spans="2:6" x14ac:dyDescent="0.35">
      <c r="F54" s="52"/>
    </row>
    <row r="55" spans="2:6" ht="18.5" x14ac:dyDescent="0.45">
      <c r="B55" s="2" t="s">
        <v>233</v>
      </c>
      <c r="F55" s="52"/>
    </row>
    <row r="56" spans="2:6" x14ac:dyDescent="0.35">
      <c r="C56" t="s">
        <v>89</v>
      </c>
      <c r="F56" s="52" t="s">
        <v>248</v>
      </c>
    </row>
    <row r="57" spans="2:6" x14ac:dyDescent="0.35">
      <c r="C57" t="s">
        <v>90</v>
      </c>
      <c r="F57" s="86" t="s">
        <v>91</v>
      </c>
    </row>
    <row r="58" spans="2:6" x14ac:dyDescent="0.35">
      <c r="C58" t="s">
        <v>92</v>
      </c>
      <c r="F58" s="86" t="s">
        <v>249</v>
      </c>
    </row>
    <row r="59" spans="2:6" x14ac:dyDescent="0.35">
      <c r="C59" t="s">
        <v>94</v>
      </c>
      <c r="F59" s="86" t="s">
        <v>95</v>
      </c>
    </row>
    <row r="60" spans="2:6" x14ac:dyDescent="0.35">
      <c r="C60" t="s">
        <v>96</v>
      </c>
      <c r="F60" s="86" t="s">
        <v>97</v>
      </c>
    </row>
    <row r="61" spans="2:6" x14ac:dyDescent="0.35">
      <c r="C61" t="s">
        <v>98</v>
      </c>
      <c r="F61" s="86" t="s">
        <v>99</v>
      </c>
    </row>
    <row r="62" spans="2:6" x14ac:dyDescent="0.35">
      <c r="C62" t="s">
        <v>100</v>
      </c>
      <c r="F62" s="86" t="s">
        <v>101</v>
      </c>
    </row>
    <row r="63" spans="2:6" x14ac:dyDescent="0.35">
      <c r="C63" t="s">
        <v>102</v>
      </c>
      <c r="F63" s="52" t="s">
        <v>234</v>
      </c>
    </row>
    <row r="64" spans="2:6" x14ac:dyDescent="0.35">
      <c r="C64" t="s">
        <v>103</v>
      </c>
      <c r="F64" s="86" t="s">
        <v>250</v>
      </c>
    </row>
    <row r="65" spans="2:6" x14ac:dyDescent="0.35">
      <c r="C65" t="s">
        <v>105</v>
      </c>
      <c r="F65" s="86" t="s">
        <v>106</v>
      </c>
    </row>
    <row r="66" spans="2:6" x14ac:dyDescent="0.35">
      <c r="C66" t="s">
        <v>107</v>
      </c>
      <c r="F66" s="86" t="s">
        <v>108</v>
      </c>
    </row>
    <row r="67" spans="2:6" x14ac:dyDescent="0.35">
      <c r="F67" s="52"/>
    </row>
    <row r="68" spans="2:6" ht="18.5" x14ac:dyDescent="0.45">
      <c r="B68" s="2" t="s">
        <v>187</v>
      </c>
      <c r="F68" s="52"/>
    </row>
    <row r="69" spans="2:6" x14ac:dyDescent="0.35">
      <c r="C69" t="s">
        <v>235</v>
      </c>
      <c r="F69" s="52"/>
    </row>
    <row r="70" spans="2:6" x14ac:dyDescent="0.35">
      <c r="C70" t="s">
        <v>236</v>
      </c>
      <c r="F70" s="52"/>
    </row>
    <row r="71" spans="2:6" x14ac:dyDescent="0.35">
      <c r="F71" s="52"/>
    </row>
    <row r="72" spans="2:6" ht="18.5" x14ac:dyDescent="0.45">
      <c r="B72" s="2" t="s">
        <v>237</v>
      </c>
      <c r="F72" s="52"/>
    </row>
    <row r="73" spans="2:6" x14ac:dyDescent="0.35">
      <c r="C73" t="s">
        <v>251</v>
      </c>
      <c r="F73" s="52"/>
    </row>
    <row r="74" spans="2:6" x14ac:dyDescent="0.35">
      <c r="C74" t="s">
        <v>238</v>
      </c>
      <c r="F74" s="52"/>
    </row>
    <row r="75" spans="2:6" x14ac:dyDescent="0.35">
      <c r="C75" t="s">
        <v>252</v>
      </c>
      <c r="F75" s="52"/>
    </row>
    <row r="76" spans="2:6" x14ac:dyDescent="0.35">
      <c r="F76" s="52"/>
    </row>
    <row r="77" spans="2:6" ht="19" thickBot="1" x14ac:dyDescent="0.5">
      <c r="B77" s="2" t="s">
        <v>32</v>
      </c>
    </row>
    <row r="78" spans="2:6" ht="15" customHeight="1" x14ac:dyDescent="0.45">
      <c r="B78" s="2"/>
      <c r="D78" s="53" t="s">
        <v>33</v>
      </c>
      <c r="E78" s="54"/>
      <c r="F78" t="s">
        <v>34</v>
      </c>
    </row>
    <row r="79" spans="2:6" ht="15" customHeight="1" x14ac:dyDescent="0.45">
      <c r="B79" s="2"/>
      <c r="D79" s="55" t="s">
        <v>35</v>
      </c>
      <c r="E79" s="56"/>
      <c r="F79" t="s">
        <v>36</v>
      </c>
    </row>
    <row r="80" spans="2:6" ht="15" customHeight="1" x14ac:dyDescent="0.45">
      <c r="B80" s="2"/>
      <c r="D80" s="57" t="s">
        <v>37</v>
      </c>
      <c r="E80" s="58"/>
      <c r="F80" t="s">
        <v>38</v>
      </c>
    </row>
    <row r="81" spans="2:6" x14ac:dyDescent="0.35">
      <c r="D81" s="59" t="s">
        <v>39</v>
      </c>
      <c r="E81" s="60"/>
      <c r="F81" t="s">
        <v>40</v>
      </c>
    </row>
    <row r="82" spans="2:6" ht="15" thickBot="1" x14ac:dyDescent="0.4">
      <c r="D82" s="61" t="s">
        <v>41</v>
      </c>
      <c r="E82" s="62"/>
      <c r="F82" t="s">
        <v>42</v>
      </c>
    </row>
    <row r="83" spans="2:6" x14ac:dyDescent="0.35">
      <c r="B83" s="1"/>
    </row>
    <row r="84" spans="2:6" ht="18.5" x14ac:dyDescent="0.45">
      <c r="B84" s="2" t="s">
        <v>43</v>
      </c>
      <c r="E84" s="63"/>
    </row>
    <row r="85" spans="2:6" x14ac:dyDescent="0.35">
      <c r="B85" s="1"/>
      <c r="C85" t="s">
        <v>253</v>
      </c>
    </row>
    <row r="86" spans="2:6" x14ac:dyDescent="0.35">
      <c r="B86" s="1"/>
      <c r="C86" t="s">
        <v>239</v>
      </c>
    </row>
  </sheetData>
  <pageMargins left="0.19685039370078741" right="0.23622047244094491" top="0.78740157480314965" bottom="0.19685039370078741" header="0.19685039370078741" footer="0.19685039370078741"/>
  <pageSetup paperSize="9" scale="39" orientation="portrait" horizontalDpi="4294967293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Normal="100" workbookViewId="0"/>
  </sheetViews>
  <sheetFormatPr baseColWidth="10" defaultColWidth="9.08984375" defaultRowHeight="14.5" x14ac:dyDescent="0.35"/>
  <cols>
    <col min="1" max="1" width="11.08984375" customWidth="1"/>
    <col min="2" max="2" width="14.6328125" customWidth="1"/>
    <col min="3" max="3" width="14.81640625" style="1" customWidth="1"/>
    <col min="4" max="4" width="22.08984375" customWidth="1"/>
    <col min="5" max="5" width="57.7265625" customWidth="1"/>
    <col min="6" max="6" width="12.26953125" customWidth="1"/>
    <col min="7" max="12" width="11.08984375" customWidth="1"/>
  </cols>
  <sheetData>
    <row r="1" spans="1:6" x14ac:dyDescent="0.35">
      <c r="A1" t="s">
        <v>20</v>
      </c>
    </row>
    <row r="2" spans="1:6" ht="15" thickBot="1" x14ac:dyDescent="0.4"/>
    <row r="3" spans="1:6" ht="18.5" x14ac:dyDescent="0.45">
      <c r="B3" s="3" t="s">
        <v>9</v>
      </c>
      <c r="C3" s="4"/>
      <c r="D3" s="5"/>
      <c r="E3" s="5"/>
      <c r="F3" s="6"/>
    </row>
    <row r="4" spans="1:6" x14ac:dyDescent="0.35">
      <c r="B4" s="7" t="s">
        <v>10</v>
      </c>
      <c r="C4" s="8"/>
      <c r="D4" s="9" t="s">
        <v>4</v>
      </c>
      <c r="E4" s="9"/>
      <c r="F4" s="10"/>
    </row>
    <row r="5" spans="1:6" x14ac:dyDescent="0.35">
      <c r="B5" s="7" t="s">
        <v>11</v>
      </c>
      <c r="C5" s="8"/>
      <c r="D5" s="9" t="s">
        <v>12</v>
      </c>
      <c r="E5" s="9"/>
      <c r="F5" s="10"/>
    </row>
    <row r="6" spans="1:6" x14ac:dyDescent="0.35">
      <c r="B6" s="7" t="s">
        <v>13</v>
      </c>
      <c r="C6" s="8"/>
      <c r="D6" s="9" t="s">
        <v>14</v>
      </c>
      <c r="E6" s="9"/>
      <c r="F6" s="10"/>
    </row>
    <row r="7" spans="1:6" ht="15" thickBot="1" x14ac:dyDescent="0.4">
      <c r="B7" s="11" t="s">
        <v>15</v>
      </c>
      <c r="C7" s="12"/>
      <c r="D7" s="13"/>
      <c r="E7" s="13"/>
      <c r="F7" s="14"/>
    </row>
    <row r="9" spans="1:6" ht="18.5" x14ac:dyDescent="0.45">
      <c r="B9" s="2" t="s">
        <v>3</v>
      </c>
      <c r="C9"/>
    </row>
    <row r="10" spans="1:6" x14ac:dyDescent="0.35">
      <c r="B10" s="16" t="s">
        <v>5</v>
      </c>
      <c r="C10" s="17" t="s">
        <v>6</v>
      </c>
      <c r="D10" s="17" t="s">
        <v>7</v>
      </c>
      <c r="E10" s="17" t="s">
        <v>8</v>
      </c>
      <c r="F10" s="18" t="s">
        <v>0</v>
      </c>
    </row>
    <row r="11" spans="1:6" x14ac:dyDescent="0.35">
      <c r="B11" s="19" t="s">
        <v>16</v>
      </c>
      <c r="C11" s="20">
        <v>44997</v>
      </c>
      <c r="D11" s="21" t="s">
        <v>17</v>
      </c>
      <c r="E11" s="22" t="s">
        <v>18</v>
      </c>
      <c r="F11" s="23" t="s">
        <v>19</v>
      </c>
    </row>
    <row r="12" spans="1:6" x14ac:dyDescent="0.35">
      <c r="B12" s="64" t="s">
        <v>45</v>
      </c>
      <c r="C12" s="65">
        <v>45047</v>
      </c>
      <c r="D12" t="s">
        <v>17</v>
      </c>
      <c r="E12" s="66" t="s">
        <v>44</v>
      </c>
      <c r="F12" s="67" t="s">
        <v>19</v>
      </c>
    </row>
    <row r="13" spans="1:6" x14ac:dyDescent="0.35">
      <c r="B13" s="19"/>
      <c r="C13" s="20"/>
      <c r="D13" s="21"/>
      <c r="E13" s="22"/>
      <c r="F13" s="23"/>
    </row>
    <row r="14" spans="1:6" x14ac:dyDescent="0.35">
      <c r="B14" s="19"/>
      <c r="C14" s="20"/>
      <c r="D14" s="21"/>
      <c r="E14" s="22"/>
      <c r="F14" s="23"/>
    </row>
    <row r="15" spans="1:6" x14ac:dyDescent="0.35">
      <c r="B15" s="19"/>
      <c r="C15" s="20"/>
      <c r="D15" s="21"/>
      <c r="E15" s="22"/>
      <c r="F15" s="23"/>
    </row>
    <row r="16" spans="1:6" ht="18.5" x14ac:dyDescent="0.45">
      <c r="B16" s="24"/>
      <c r="C16" s="25"/>
      <c r="D16" s="21"/>
      <c r="E16" s="22"/>
      <c r="F16" s="23"/>
    </row>
    <row r="17" spans="2:6" x14ac:dyDescent="0.35">
      <c r="B17" s="26"/>
      <c r="C17" s="27"/>
      <c r="D17" s="21"/>
      <c r="E17" s="22"/>
      <c r="F17" s="23"/>
    </row>
    <row r="18" spans="2:6" x14ac:dyDescent="0.35">
      <c r="B18" s="26"/>
      <c r="C18" s="27"/>
      <c r="D18" s="21"/>
      <c r="E18" s="22"/>
      <c r="F18" s="23"/>
    </row>
    <row r="19" spans="2:6" x14ac:dyDescent="0.35">
      <c r="B19" s="26"/>
      <c r="C19" s="27"/>
      <c r="D19" s="21"/>
      <c r="E19" s="22"/>
      <c r="F19" s="23"/>
    </row>
    <row r="20" spans="2:6" x14ac:dyDescent="0.35">
      <c r="B20" s="26"/>
      <c r="C20" s="27"/>
      <c r="D20" s="21"/>
      <c r="E20" s="22"/>
      <c r="F20" s="23"/>
    </row>
    <row r="21" spans="2:6" x14ac:dyDescent="0.35">
      <c r="B21" s="26"/>
      <c r="C21" s="27"/>
      <c r="D21" s="21"/>
      <c r="E21" s="22"/>
      <c r="F21" s="23"/>
    </row>
    <row r="22" spans="2:6" x14ac:dyDescent="0.35">
      <c r="B22" s="19"/>
      <c r="C22" s="25"/>
      <c r="D22" s="21"/>
      <c r="E22" s="22"/>
      <c r="F22" s="23"/>
    </row>
    <row r="23" spans="2:6" ht="18.5" x14ac:dyDescent="0.45">
      <c r="B23" s="24"/>
      <c r="C23" s="27"/>
      <c r="D23" s="21"/>
      <c r="E23" s="22"/>
      <c r="F23" s="23"/>
    </row>
    <row r="24" spans="2:6" x14ac:dyDescent="0.35">
      <c r="B24" s="19"/>
      <c r="C24" s="27"/>
      <c r="D24" s="21"/>
      <c r="E24" s="22"/>
      <c r="F24" s="23"/>
    </row>
    <row r="25" spans="2:6" x14ac:dyDescent="0.35">
      <c r="B25" s="28"/>
      <c r="C25" s="29"/>
      <c r="D25" s="30"/>
      <c r="E25" s="31"/>
      <c r="F25" s="32"/>
    </row>
    <row r="26" spans="2:6" x14ac:dyDescent="0.35">
      <c r="C26"/>
    </row>
    <row r="27" spans="2:6" x14ac:dyDescent="0.35">
      <c r="C27"/>
    </row>
    <row r="28" spans="2:6" x14ac:dyDescent="0.35">
      <c r="C28"/>
    </row>
    <row r="29" spans="2:6" x14ac:dyDescent="0.35">
      <c r="C29"/>
    </row>
    <row r="30" spans="2:6" x14ac:dyDescent="0.35">
      <c r="C30"/>
    </row>
    <row r="31" spans="2:6" x14ac:dyDescent="0.35">
      <c r="C31"/>
    </row>
    <row r="33" spans="2:3" ht="18.5" x14ac:dyDescent="0.45">
      <c r="B33" s="2"/>
      <c r="C33"/>
    </row>
    <row r="34" spans="2:3" x14ac:dyDescent="0.35">
      <c r="C34"/>
    </row>
    <row r="35" spans="2:3" x14ac:dyDescent="0.35">
      <c r="C35"/>
    </row>
    <row r="36" spans="2:3" x14ac:dyDescent="0.35">
      <c r="C36"/>
    </row>
    <row r="37" spans="2:3" x14ac:dyDescent="0.35">
      <c r="C37"/>
    </row>
    <row r="38" spans="2:3" x14ac:dyDescent="0.35">
      <c r="C38"/>
    </row>
    <row r="39" spans="2:3" x14ac:dyDescent="0.35">
      <c r="C39"/>
    </row>
    <row r="40" spans="2:3" x14ac:dyDescent="0.35">
      <c r="C40"/>
    </row>
    <row r="41" spans="2:3" x14ac:dyDescent="0.35">
      <c r="C41"/>
    </row>
    <row r="42" spans="2:3" x14ac:dyDescent="0.35">
      <c r="C42"/>
    </row>
    <row r="43" spans="2:3" x14ac:dyDescent="0.35">
      <c r="C43"/>
    </row>
    <row r="44" spans="2:3" x14ac:dyDescent="0.35">
      <c r="C44"/>
    </row>
    <row r="45" spans="2:3" x14ac:dyDescent="0.35">
      <c r="C45"/>
    </row>
    <row r="46" spans="2:3" x14ac:dyDescent="0.35">
      <c r="C46"/>
    </row>
    <row r="47" spans="2:3" x14ac:dyDescent="0.35">
      <c r="C47"/>
    </row>
    <row r="48" spans="2:3" x14ac:dyDescent="0.35">
      <c r="C48"/>
    </row>
    <row r="49" spans="2:3" x14ac:dyDescent="0.35">
      <c r="C49"/>
    </row>
    <row r="50" spans="2:3" ht="18.5" x14ac:dyDescent="0.45">
      <c r="B50" s="2"/>
      <c r="C50"/>
    </row>
    <row r="51" spans="2:3" x14ac:dyDescent="0.35">
      <c r="C51"/>
    </row>
    <row r="52" spans="2:3" x14ac:dyDescent="0.35">
      <c r="C52"/>
    </row>
    <row r="53" spans="2:3" x14ac:dyDescent="0.35">
      <c r="C53"/>
    </row>
    <row r="54" spans="2:3" x14ac:dyDescent="0.35">
      <c r="C54"/>
    </row>
    <row r="55" spans="2:3" x14ac:dyDescent="0.35">
      <c r="C55"/>
    </row>
    <row r="56" spans="2:3" x14ac:dyDescent="0.35">
      <c r="C56"/>
    </row>
    <row r="57" spans="2:3" x14ac:dyDescent="0.35">
      <c r="C57"/>
    </row>
    <row r="58" spans="2:3" x14ac:dyDescent="0.35">
      <c r="C58"/>
    </row>
    <row r="59" spans="2:3" x14ac:dyDescent="0.35">
      <c r="C59"/>
    </row>
    <row r="60" spans="2:3" x14ac:dyDescent="0.35">
      <c r="C60"/>
    </row>
    <row r="65" spans="3:3" x14ac:dyDescent="0.3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19685039370078741" right="0.23622047244094488" top="0.78740157480314965" bottom="0.19685039370078741" header="0.19685039370078741" footer="0.19685039370078741"/>
  <pageSetup paperSize="9" scale="99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pageSetUpPr fitToPage="1"/>
  </sheetPr>
  <dimension ref="A1:P133"/>
  <sheetViews>
    <sheetView zoomScaleNormal="100" workbookViewId="0">
      <selection activeCell="F5" sqref="F5"/>
    </sheetView>
  </sheetViews>
  <sheetFormatPr baseColWidth="10" defaultRowHeight="14.5" x14ac:dyDescent="0.35"/>
  <cols>
    <col min="1" max="2" width="3.6328125" customWidth="1"/>
    <col min="3" max="4" width="8.6328125" customWidth="1"/>
    <col min="5" max="5" width="27.81640625" customWidth="1"/>
    <col min="6" max="6" width="12.6328125" customWidth="1"/>
    <col min="7" max="7" width="20.81640625" customWidth="1"/>
    <col min="8" max="11" width="12.6328125" customWidth="1"/>
    <col min="12" max="16" width="34.6328125" customWidth="1"/>
  </cols>
  <sheetData>
    <row r="1" spans="1:16" x14ac:dyDescent="0.35">
      <c r="A1" t="s">
        <v>20</v>
      </c>
    </row>
    <row r="2" spans="1:16" ht="15" thickBot="1" x14ac:dyDescent="0.4"/>
    <row r="3" spans="1:16" ht="18.5" x14ac:dyDescent="0.45">
      <c r="C3" s="3" t="s">
        <v>254</v>
      </c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</row>
    <row r="4" spans="1:16" x14ac:dyDescent="0.35">
      <c r="C4" s="7" t="s">
        <v>10</v>
      </c>
      <c r="D4" s="8"/>
      <c r="E4" s="9" t="s">
        <v>4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x14ac:dyDescent="0.35">
      <c r="C5" s="7" t="s">
        <v>11</v>
      </c>
      <c r="D5" s="8"/>
      <c r="E5" s="49" t="s">
        <v>12</v>
      </c>
      <c r="F5" s="9"/>
      <c r="G5" s="9"/>
      <c r="H5" s="9"/>
      <c r="I5" s="9"/>
      <c r="J5" s="9"/>
      <c r="K5" s="9"/>
      <c r="L5" s="9"/>
      <c r="M5" s="9"/>
      <c r="N5" s="9"/>
      <c r="O5" s="9"/>
      <c r="P5" s="10"/>
    </row>
    <row r="6" spans="1:16" x14ac:dyDescent="0.35">
      <c r="C6" s="7" t="s">
        <v>13</v>
      </c>
      <c r="D6" s="8"/>
      <c r="E6" s="9" t="s">
        <v>14</v>
      </c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 ht="15" thickBot="1" x14ac:dyDescent="0.4">
      <c r="C7" s="11" t="s">
        <v>15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/>
    </row>
    <row r="8" spans="1:16" ht="15" thickBot="1" x14ac:dyDescent="0.4"/>
    <row r="9" spans="1:16" s="15" customFormat="1" ht="29" x14ac:dyDescent="0.35">
      <c r="C9" s="33" t="s">
        <v>58</v>
      </c>
      <c r="D9" s="34" t="s">
        <v>57</v>
      </c>
      <c r="E9" s="34" t="s">
        <v>56</v>
      </c>
      <c r="F9" s="34" t="s">
        <v>55</v>
      </c>
      <c r="G9" s="34" t="s">
        <v>54</v>
      </c>
      <c r="H9" s="34" t="s">
        <v>53</v>
      </c>
      <c r="I9" s="34" t="s">
        <v>52</v>
      </c>
      <c r="J9" s="34" t="s">
        <v>51</v>
      </c>
      <c r="K9" s="34" t="s">
        <v>0</v>
      </c>
      <c r="L9" s="34" t="s">
        <v>50</v>
      </c>
      <c r="M9" s="34" t="s">
        <v>49</v>
      </c>
      <c r="N9" s="34" t="s">
        <v>48</v>
      </c>
      <c r="O9" s="68" t="s">
        <v>47</v>
      </c>
      <c r="P9" s="35" t="s">
        <v>46</v>
      </c>
    </row>
    <row r="10" spans="1:16" x14ac:dyDescent="0.35">
      <c r="C10" s="36">
        <v>1</v>
      </c>
      <c r="D10" s="36">
        <v>1</v>
      </c>
      <c r="E10" s="37" t="s">
        <v>59</v>
      </c>
      <c r="F10" s="70">
        <v>1</v>
      </c>
      <c r="G10" s="37" t="s">
        <v>62</v>
      </c>
      <c r="H10" s="70">
        <v>12</v>
      </c>
      <c r="I10" s="70">
        <v>2</v>
      </c>
      <c r="J10" s="70">
        <v>1</v>
      </c>
      <c r="K10" s="38" t="s">
        <v>26</v>
      </c>
      <c r="L10" s="38"/>
      <c r="M10" s="37"/>
      <c r="N10" s="39"/>
      <c r="O10" s="39"/>
      <c r="P10" s="39"/>
    </row>
    <row r="11" spans="1:16" x14ac:dyDescent="0.35">
      <c r="C11" s="36">
        <v>2</v>
      </c>
      <c r="D11" s="36">
        <v>1</v>
      </c>
      <c r="E11" s="37" t="s">
        <v>59</v>
      </c>
      <c r="F11" s="70">
        <v>2</v>
      </c>
      <c r="G11" s="37" t="s">
        <v>63</v>
      </c>
      <c r="H11" s="70">
        <v>13</v>
      </c>
      <c r="I11" s="70">
        <v>1</v>
      </c>
      <c r="J11" s="70">
        <v>1</v>
      </c>
      <c r="K11" s="38" t="s">
        <v>26</v>
      </c>
      <c r="L11" s="38"/>
      <c r="M11" s="37"/>
      <c r="N11" s="39"/>
      <c r="O11" s="39"/>
      <c r="P11" s="39"/>
    </row>
    <row r="12" spans="1:16" x14ac:dyDescent="0.35">
      <c r="C12" s="36">
        <v>3</v>
      </c>
      <c r="D12" s="36">
        <v>1</v>
      </c>
      <c r="E12" s="37" t="s">
        <v>59</v>
      </c>
      <c r="F12" s="70">
        <v>3</v>
      </c>
      <c r="G12" s="37" t="s">
        <v>64</v>
      </c>
      <c r="H12" s="70">
        <v>10</v>
      </c>
      <c r="I12" s="70">
        <v>1</v>
      </c>
      <c r="J12" s="70">
        <v>1</v>
      </c>
      <c r="K12" s="38" t="s">
        <v>26</v>
      </c>
      <c r="L12" s="38"/>
      <c r="M12" s="37"/>
      <c r="N12" s="39"/>
      <c r="O12" s="39"/>
      <c r="P12" s="39"/>
    </row>
    <row r="13" spans="1:16" x14ac:dyDescent="0.35">
      <c r="C13" s="36">
        <v>4</v>
      </c>
      <c r="D13" s="36">
        <v>1</v>
      </c>
      <c r="E13" s="37" t="s">
        <v>59</v>
      </c>
      <c r="F13" s="70">
        <v>4</v>
      </c>
      <c r="G13" s="37" t="s">
        <v>65</v>
      </c>
      <c r="H13" s="70">
        <v>2</v>
      </c>
      <c r="I13" s="70">
        <v>2</v>
      </c>
      <c r="J13" s="70">
        <v>1</v>
      </c>
      <c r="K13" s="38" t="s">
        <v>26</v>
      </c>
      <c r="L13" s="38"/>
      <c r="M13" s="37"/>
      <c r="N13" s="39"/>
      <c r="O13" s="39"/>
      <c r="P13" s="39"/>
    </row>
    <row r="14" spans="1:16" x14ac:dyDescent="0.35">
      <c r="C14" s="36">
        <v>5</v>
      </c>
      <c r="D14" s="36">
        <v>1</v>
      </c>
      <c r="E14" s="37" t="s">
        <v>59</v>
      </c>
      <c r="F14" s="70">
        <v>5</v>
      </c>
      <c r="G14" s="37" t="s">
        <v>66</v>
      </c>
      <c r="H14" s="70">
        <v>5</v>
      </c>
      <c r="I14" s="70">
        <v>2</v>
      </c>
      <c r="J14" s="70">
        <v>2</v>
      </c>
      <c r="K14" s="38" t="s">
        <v>26</v>
      </c>
      <c r="L14" s="38"/>
      <c r="M14" s="37"/>
      <c r="N14" s="39"/>
      <c r="O14" s="39"/>
      <c r="P14" s="39"/>
    </row>
    <row r="15" spans="1:16" x14ac:dyDescent="0.35">
      <c r="C15" s="36">
        <v>6</v>
      </c>
      <c r="D15" s="36">
        <v>2</v>
      </c>
      <c r="E15" s="37" t="s">
        <v>60</v>
      </c>
      <c r="F15" s="70">
        <v>6</v>
      </c>
      <c r="G15" s="37" t="s">
        <v>67</v>
      </c>
      <c r="H15" s="70">
        <v>4</v>
      </c>
      <c r="I15" s="70">
        <v>2</v>
      </c>
      <c r="J15" s="70">
        <v>2</v>
      </c>
      <c r="K15" s="38" t="s">
        <v>26</v>
      </c>
      <c r="L15" s="38"/>
      <c r="M15" s="37"/>
      <c r="N15" s="39"/>
      <c r="O15" s="39"/>
      <c r="P15" s="39"/>
    </row>
    <row r="16" spans="1:16" x14ac:dyDescent="0.35">
      <c r="C16" s="36">
        <v>7</v>
      </c>
      <c r="D16" s="36">
        <v>2</v>
      </c>
      <c r="E16" s="37" t="s">
        <v>60</v>
      </c>
      <c r="F16" s="70">
        <v>7</v>
      </c>
      <c r="G16" s="37" t="s">
        <v>68</v>
      </c>
      <c r="H16" s="70">
        <v>20</v>
      </c>
      <c r="I16" s="70">
        <v>1</v>
      </c>
      <c r="J16" s="70">
        <v>2</v>
      </c>
      <c r="K16" s="38" t="s">
        <v>26</v>
      </c>
      <c r="L16" s="38"/>
      <c r="M16" s="37"/>
      <c r="N16" s="39"/>
      <c r="O16" s="39"/>
      <c r="P16" s="39"/>
    </row>
    <row r="17" spans="3:16" x14ac:dyDescent="0.35">
      <c r="C17" s="36">
        <v>8</v>
      </c>
      <c r="D17" s="36">
        <v>2</v>
      </c>
      <c r="E17" s="37" t="s">
        <v>60</v>
      </c>
      <c r="F17" s="70">
        <v>8</v>
      </c>
      <c r="G17" s="37" t="s">
        <v>69</v>
      </c>
      <c r="H17" s="70">
        <v>2</v>
      </c>
      <c r="I17" s="70">
        <v>1</v>
      </c>
      <c r="J17" s="70">
        <v>2</v>
      </c>
      <c r="K17" s="38" t="s">
        <v>26</v>
      </c>
      <c r="L17" s="38"/>
      <c r="M17" s="37"/>
      <c r="N17" s="39"/>
      <c r="O17" s="39"/>
      <c r="P17" s="39"/>
    </row>
    <row r="18" spans="3:16" x14ac:dyDescent="0.35">
      <c r="C18" s="36">
        <v>9</v>
      </c>
      <c r="D18" s="36">
        <v>2</v>
      </c>
      <c r="E18" s="37" t="s">
        <v>60</v>
      </c>
      <c r="F18" s="70">
        <v>9</v>
      </c>
      <c r="G18" s="37" t="s">
        <v>70</v>
      </c>
      <c r="H18" s="70">
        <v>6</v>
      </c>
      <c r="I18" s="70">
        <v>3</v>
      </c>
      <c r="J18" s="70">
        <v>3</v>
      </c>
      <c r="K18" s="38" t="s">
        <v>26</v>
      </c>
      <c r="L18" s="38"/>
      <c r="M18" s="37"/>
      <c r="N18" s="39"/>
      <c r="O18" s="39"/>
      <c r="P18" s="39"/>
    </row>
    <row r="19" spans="3:16" x14ac:dyDescent="0.35">
      <c r="C19" s="36">
        <v>10</v>
      </c>
      <c r="D19" s="36">
        <v>3</v>
      </c>
      <c r="E19" s="37" t="s">
        <v>61</v>
      </c>
      <c r="F19" s="70">
        <v>10</v>
      </c>
      <c r="G19" s="37" t="s">
        <v>71</v>
      </c>
      <c r="H19" s="70">
        <v>17</v>
      </c>
      <c r="I19" s="70">
        <v>3</v>
      </c>
      <c r="J19" s="70">
        <v>3</v>
      </c>
      <c r="K19" s="38" t="s">
        <v>26</v>
      </c>
      <c r="L19" s="38"/>
      <c r="M19" s="37"/>
      <c r="N19" s="39"/>
      <c r="O19" s="39"/>
      <c r="P19" s="39"/>
    </row>
    <row r="20" spans="3:16" x14ac:dyDescent="0.35">
      <c r="C20" s="36">
        <v>11</v>
      </c>
      <c r="D20" s="36">
        <v>3</v>
      </c>
      <c r="E20" s="37" t="s">
        <v>61</v>
      </c>
      <c r="F20" s="70">
        <v>11</v>
      </c>
      <c r="G20" s="37" t="s">
        <v>72</v>
      </c>
      <c r="H20" s="70">
        <v>17</v>
      </c>
      <c r="I20" s="70">
        <v>3</v>
      </c>
      <c r="J20" s="70">
        <v>3</v>
      </c>
      <c r="K20" s="38" t="s">
        <v>26</v>
      </c>
      <c r="L20" s="38"/>
      <c r="M20" s="37"/>
      <c r="N20" s="39"/>
      <c r="O20" s="39"/>
      <c r="P20" s="39"/>
    </row>
    <row r="21" spans="3:16" x14ac:dyDescent="0.35">
      <c r="C21" s="36">
        <v>12</v>
      </c>
      <c r="D21" s="36">
        <v>3</v>
      </c>
      <c r="E21" s="37" t="s">
        <v>61</v>
      </c>
      <c r="F21" s="70">
        <v>12</v>
      </c>
      <c r="G21" s="37" t="s">
        <v>73</v>
      </c>
      <c r="H21" s="70">
        <v>12</v>
      </c>
      <c r="I21" s="70">
        <v>4</v>
      </c>
      <c r="J21" s="70">
        <v>3</v>
      </c>
      <c r="K21" s="38" t="s">
        <v>26</v>
      </c>
      <c r="L21" s="38"/>
      <c r="M21" s="37"/>
      <c r="N21" s="39"/>
      <c r="O21" s="39"/>
      <c r="P21" s="39"/>
    </row>
    <row r="22" spans="3:16" x14ac:dyDescent="0.35">
      <c r="C22" s="36">
        <v>13</v>
      </c>
      <c r="D22" s="36">
        <v>3</v>
      </c>
      <c r="E22" s="37" t="s">
        <v>61</v>
      </c>
      <c r="F22" s="70">
        <v>13</v>
      </c>
      <c r="G22" s="37" t="s">
        <v>74</v>
      </c>
      <c r="H22" s="70">
        <v>13</v>
      </c>
      <c r="I22" s="70">
        <v>4</v>
      </c>
      <c r="J22" s="70">
        <v>4</v>
      </c>
      <c r="K22" s="38" t="s">
        <v>23</v>
      </c>
      <c r="L22" s="38"/>
      <c r="M22" s="37"/>
      <c r="N22" s="39"/>
      <c r="O22" s="39"/>
      <c r="P22" s="39"/>
    </row>
    <row r="23" spans="3:16" ht="15" customHeight="1" x14ac:dyDescent="0.35">
      <c r="C23" s="36">
        <v>14</v>
      </c>
      <c r="D23" s="36">
        <v>4</v>
      </c>
      <c r="E23" s="37" t="s">
        <v>168</v>
      </c>
      <c r="F23" s="70">
        <v>14</v>
      </c>
      <c r="G23" s="37" t="s">
        <v>171</v>
      </c>
      <c r="H23" s="70">
        <v>10</v>
      </c>
      <c r="I23" s="70">
        <v>3</v>
      </c>
      <c r="J23" s="70">
        <v>4</v>
      </c>
      <c r="K23" s="38" t="s">
        <v>23</v>
      </c>
      <c r="L23" s="38"/>
      <c r="M23" s="37"/>
      <c r="N23" s="39"/>
      <c r="O23" s="39"/>
      <c r="P23" s="39"/>
    </row>
    <row r="24" spans="3:16" x14ac:dyDescent="0.35">
      <c r="C24" s="36">
        <v>15</v>
      </c>
      <c r="D24" s="36">
        <v>4</v>
      </c>
      <c r="E24" s="37" t="s">
        <v>168</v>
      </c>
      <c r="F24" s="70">
        <v>15</v>
      </c>
      <c r="G24" s="37" t="s">
        <v>172</v>
      </c>
      <c r="H24" s="70">
        <v>8</v>
      </c>
      <c r="I24" s="70">
        <v>2</v>
      </c>
      <c r="J24" s="70">
        <v>4</v>
      </c>
      <c r="K24" s="38" t="s">
        <v>24</v>
      </c>
      <c r="L24" s="38"/>
      <c r="M24" s="37"/>
      <c r="N24" s="39"/>
      <c r="O24" s="39"/>
      <c r="P24" s="39"/>
    </row>
    <row r="25" spans="3:16" x14ac:dyDescent="0.35">
      <c r="C25" s="36">
        <v>16</v>
      </c>
      <c r="D25" s="36">
        <v>4</v>
      </c>
      <c r="E25" s="37" t="s">
        <v>168</v>
      </c>
      <c r="F25" s="70">
        <v>16</v>
      </c>
      <c r="G25" s="37" t="s">
        <v>173</v>
      </c>
      <c r="H25" s="70">
        <v>14</v>
      </c>
      <c r="I25" s="70">
        <v>2</v>
      </c>
      <c r="J25" s="70">
        <v>4</v>
      </c>
      <c r="K25" s="38" t="s">
        <v>24</v>
      </c>
      <c r="L25" s="38"/>
      <c r="M25" s="37"/>
      <c r="N25" s="39"/>
      <c r="O25" s="39"/>
      <c r="P25" s="39"/>
    </row>
    <row r="26" spans="3:16" x14ac:dyDescent="0.35">
      <c r="C26" s="36">
        <v>17</v>
      </c>
      <c r="D26" s="36">
        <v>4</v>
      </c>
      <c r="E26" s="37" t="s">
        <v>168</v>
      </c>
      <c r="F26" s="70">
        <v>17</v>
      </c>
      <c r="G26" s="37" t="s">
        <v>174</v>
      </c>
      <c r="H26" s="70">
        <v>6</v>
      </c>
      <c r="I26" s="70">
        <v>1</v>
      </c>
      <c r="J26" s="70">
        <v>5</v>
      </c>
      <c r="K26" s="38" t="s">
        <v>24</v>
      </c>
      <c r="L26" s="38"/>
      <c r="M26" s="37"/>
      <c r="N26" s="39"/>
      <c r="O26" s="39"/>
      <c r="P26" s="39"/>
    </row>
    <row r="27" spans="3:16" x14ac:dyDescent="0.35">
      <c r="C27" s="36">
        <v>18</v>
      </c>
      <c r="D27" s="36">
        <v>4</v>
      </c>
      <c r="E27" s="37" t="s">
        <v>168</v>
      </c>
      <c r="F27" s="70">
        <v>18</v>
      </c>
      <c r="G27" s="37" t="s">
        <v>175</v>
      </c>
      <c r="H27" s="70">
        <v>7</v>
      </c>
      <c r="I27" s="70">
        <v>4</v>
      </c>
      <c r="J27" s="70">
        <v>5</v>
      </c>
      <c r="K27" s="38" t="s">
        <v>25</v>
      </c>
      <c r="L27" s="38"/>
      <c r="M27" s="37"/>
      <c r="N27" s="39"/>
      <c r="O27" s="39"/>
      <c r="P27" s="39"/>
    </row>
    <row r="28" spans="3:16" x14ac:dyDescent="0.35">
      <c r="C28" s="36">
        <v>19</v>
      </c>
      <c r="D28" s="36">
        <v>5</v>
      </c>
      <c r="E28" s="37" t="s">
        <v>169</v>
      </c>
      <c r="F28" s="70">
        <v>19</v>
      </c>
      <c r="G28" s="37" t="s">
        <v>176</v>
      </c>
      <c r="H28" s="70">
        <v>8</v>
      </c>
      <c r="I28" s="70">
        <v>2</v>
      </c>
      <c r="J28" s="70">
        <v>5</v>
      </c>
      <c r="K28" s="38" t="s">
        <v>22</v>
      </c>
      <c r="L28" s="38"/>
      <c r="M28" s="37"/>
      <c r="N28" s="39"/>
      <c r="O28" s="39"/>
      <c r="P28" s="39"/>
    </row>
    <row r="29" spans="3:16" x14ac:dyDescent="0.35">
      <c r="C29" s="36">
        <v>20</v>
      </c>
      <c r="D29" s="36">
        <v>5</v>
      </c>
      <c r="E29" s="37" t="s">
        <v>169</v>
      </c>
      <c r="F29" s="70">
        <v>20</v>
      </c>
      <c r="G29" s="37" t="s">
        <v>177</v>
      </c>
      <c r="H29" s="70">
        <v>12</v>
      </c>
      <c r="I29" s="70">
        <v>3</v>
      </c>
      <c r="J29" s="70">
        <v>6</v>
      </c>
      <c r="K29" s="38" t="s">
        <v>22</v>
      </c>
      <c r="L29" s="38"/>
      <c r="M29" s="37"/>
      <c r="N29" s="39"/>
      <c r="O29" s="39"/>
      <c r="P29" s="39"/>
    </row>
    <row r="30" spans="3:16" x14ac:dyDescent="0.35">
      <c r="C30" s="36">
        <v>21</v>
      </c>
      <c r="D30" s="36">
        <v>5</v>
      </c>
      <c r="E30" s="37" t="s">
        <v>169</v>
      </c>
      <c r="F30" s="70">
        <v>21</v>
      </c>
      <c r="G30" s="37" t="s">
        <v>178</v>
      </c>
      <c r="H30" s="70">
        <v>10</v>
      </c>
      <c r="I30" s="70">
        <v>2</v>
      </c>
      <c r="J30" s="70">
        <v>5</v>
      </c>
      <c r="K30" s="38" t="s">
        <v>22</v>
      </c>
      <c r="L30" s="38"/>
      <c r="M30" s="37"/>
      <c r="N30" s="39"/>
      <c r="O30" s="39"/>
      <c r="P30" s="39"/>
    </row>
    <row r="31" spans="3:16" x14ac:dyDescent="0.35">
      <c r="C31" s="36">
        <v>22</v>
      </c>
      <c r="D31" s="36">
        <v>5</v>
      </c>
      <c r="E31" s="37" t="s">
        <v>169</v>
      </c>
      <c r="F31" s="70">
        <v>22</v>
      </c>
      <c r="G31" s="37" t="s">
        <v>179</v>
      </c>
      <c r="H31" s="70">
        <v>11</v>
      </c>
      <c r="I31" s="70">
        <v>1</v>
      </c>
      <c r="J31" s="70">
        <v>5</v>
      </c>
      <c r="K31" s="38" t="s">
        <v>21</v>
      </c>
      <c r="L31" s="38"/>
      <c r="M31" s="37"/>
      <c r="N31" s="39"/>
      <c r="O31" s="39"/>
      <c r="P31" s="39"/>
    </row>
    <row r="32" spans="3:16" x14ac:dyDescent="0.35">
      <c r="C32" s="36">
        <v>23</v>
      </c>
      <c r="D32" s="36">
        <v>5</v>
      </c>
      <c r="E32" s="37" t="s">
        <v>169</v>
      </c>
      <c r="F32" s="70">
        <v>23</v>
      </c>
      <c r="G32" s="37" t="s">
        <v>180</v>
      </c>
      <c r="H32" s="70">
        <v>6</v>
      </c>
      <c r="I32" s="70">
        <v>2</v>
      </c>
      <c r="J32" s="70">
        <v>6</v>
      </c>
      <c r="K32" s="38" t="s">
        <v>21</v>
      </c>
      <c r="L32" s="38"/>
      <c r="M32" s="37"/>
      <c r="N32" s="39"/>
      <c r="O32" s="39"/>
      <c r="P32" s="39"/>
    </row>
    <row r="33" spans="3:16" x14ac:dyDescent="0.35">
      <c r="C33" s="36">
        <v>24</v>
      </c>
      <c r="D33" s="36">
        <v>6</v>
      </c>
      <c r="E33" s="37" t="s">
        <v>170</v>
      </c>
      <c r="F33" s="70">
        <v>24</v>
      </c>
      <c r="G33" s="37" t="s">
        <v>181</v>
      </c>
      <c r="H33" s="70">
        <v>5</v>
      </c>
      <c r="I33" s="70">
        <v>3</v>
      </c>
      <c r="J33" s="70">
        <v>6</v>
      </c>
      <c r="K33" s="38" t="s">
        <v>21</v>
      </c>
      <c r="L33" s="38"/>
      <c r="M33" s="37"/>
      <c r="N33" s="39"/>
      <c r="O33" s="39"/>
      <c r="P33" s="39"/>
    </row>
    <row r="34" spans="3:16" x14ac:dyDescent="0.35">
      <c r="C34" s="36">
        <v>25</v>
      </c>
      <c r="D34" s="36">
        <v>6</v>
      </c>
      <c r="E34" s="37" t="s">
        <v>170</v>
      </c>
      <c r="F34" s="70">
        <v>25</v>
      </c>
      <c r="G34" s="37" t="s">
        <v>182</v>
      </c>
      <c r="H34" s="70">
        <v>12</v>
      </c>
      <c r="I34" s="70">
        <v>4</v>
      </c>
      <c r="J34" s="70">
        <v>6</v>
      </c>
      <c r="K34" s="38" t="s">
        <v>21</v>
      </c>
      <c r="L34" s="38"/>
      <c r="M34" s="37"/>
      <c r="N34" s="39"/>
      <c r="O34" s="39"/>
      <c r="P34" s="39"/>
    </row>
    <row r="35" spans="3:16" x14ac:dyDescent="0.35">
      <c r="C35" s="36">
        <v>26</v>
      </c>
      <c r="D35" s="36"/>
      <c r="E35" s="37"/>
      <c r="F35" s="70"/>
      <c r="G35" s="37"/>
      <c r="H35" s="70"/>
      <c r="I35" s="70"/>
      <c r="J35" s="70"/>
      <c r="K35" s="38"/>
      <c r="L35" s="38"/>
      <c r="M35" s="37"/>
      <c r="N35" s="39"/>
      <c r="O35" s="39"/>
      <c r="P35" s="39"/>
    </row>
    <row r="36" spans="3:16" x14ac:dyDescent="0.35">
      <c r="C36" s="36">
        <v>27</v>
      </c>
      <c r="D36" s="36"/>
      <c r="E36" s="37"/>
      <c r="F36" s="70"/>
      <c r="G36" s="37"/>
      <c r="H36" s="70"/>
      <c r="I36" s="70"/>
      <c r="J36" s="70"/>
      <c r="K36" s="38"/>
      <c r="L36" s="38"/>
      <c r="M36" s="37"/>
      <c r="N36" s="39"/>
      <c r="O36" s="39"/>
      <c r="P36" s="39"/>
    </row>
    <row r="37" spans="3:16" x14ac:dyDescent="0.35">
      <c r="C37" s="36">
        <v>28</v>
      </c>
      <c r="D37" s="36"/>
      <c r="E37" s="38"/>
      <c r="F37" s="71"/>
      <c r="G37" s="38"/>
      <c r="H37" s="71"/>
      <c r="I37" s="71"/>
      <c r="J37" s="70"/>
      <c r="K37" s="38"/>
      <c r="L37" s="38"/>
      <c r="M37" s="38"/>
      <c r="N37" s="40"/>
      <c r="O37" s="40"/>
      <c r="P37" s="40"/>
    </row>
    <row r="38" spans="3:16" x14ac:dyDescent="0.35">
      <c r="C38" s="36">
        <v>29</v>
      </c>
      <c r="D38" s="36"/>
      <c r="E38" s="38"/>
      <c r="F38" s="71"/>
      <c r="G38" s="38"/>
      <c r="H38" s="71"/>
      <c r="I38" s="71"/>
      <c r="J38" s="70"/>
      <c r="K38" s="38"/>
      <c r="L38" s="38"/>
      <c r="M38" s="38"/>
      <c r="N38" s="40"/>
      <c r="O38" s="40"/>
      <c r="P38" s="40"/>
    </row>
    <row r="39" spans="3:16" x14ac:dyDescent="0.35">
      <c r="C39" s="36">
        <v>30</v>
      </c>
      <c r="D39" s="69"/>
      <c r="E39" s="38"/>
      <c r="F39" s="71"/>
      <c r="G39" s="38"/>
      <c r="H39" s="71"/>
      <c r="I39" s="71"/>
      <c r="J39" s="70"/>
      <c r="K39" s="38"/>
      <c r="L39" s="38"/>
      <c r="M39" s="38"/>
      <c r="N39" s="38"/>
      <c r="O39" s="39"/>
      <c r="P39" s="38"/>
    </row>
    <row r="42" spans="3:16" ht="15" thickBot="1" x14ac:dyDescent="0.4"/>
    <row r="43" spans="3:16" ht="15" thickBot="1" x14ac:dyDescent="0.4">
      <c r="D43" s="73" t="s">
        <v>75</v>
      </c>
      <c r="E43" s="74"/>
      <c r="F43" s="75"/>
      <c r="G43" s="76" t="s">
        <v>76</v>
      </c>
      <c r="H43" s="77"/>
      <c r="L43" s="88" t="s">
        <v>89</v>
      </c>
      <c r="M43" s="89"/>
      <c r="N43" s="86"/>
    </row>
    <row r="44" spans="3:16" x14ac:dyDescent="0.35">
      <c r="D44" s="78" t="s">
        <v>77</v>
      </c>
      <c r="E44" s="79"/>
      <c r="F44" s="137">
        <f>MAX(Tabelle1[EPIC-Nr.])</f>
        <v>6</v>
      </c>
      <c r="G44" s="80" t="s">
        <v>78</v>
      </c>
      <c r="H44" s="72">
        <v>3</v>
      </c>
      <c r="L44" s="78" t="s">
        <v>90</v>
      </c>
      <c r="M44" s="141">
        <f>COUNTIF(Tabelle1[Sprint Nr.],1)</f>
        <v>4</v>
      </c>
      <c r="N44" s="86" t="s">
        <v>91</v>
      </c>
    </row>
    <row r="45" spans="3:16" x14ac:dyDescent="0.35">
      <c r="D45" s="78" t="s">
        <v>79</v>
      </c>
      <c r="E45" s="37"/>
      <c r="F45" s="138">
        <f>MAX(Tabelle1[User-Story-Nr.])</f>
        <v>25</v>
      </c>
      <c r="G45" s="81" t="s">
        <v>80</v>
      </c>
      <c r="H45" s="139">
        <f>COUNTIF(Tabelle1[Status],"erfasst")</f>
        <v>4</v>
      </c>
      <c r="L45" s="78" t="s">
        <v>92</v>
      </c>
      <c r="M45" s="141">
        <f>COUNTIFS(Tabelle1[Sprint Nr.],1,Tabelle1[Status],"fertig")</f>
        <v>4</v>
      </c>
      <c r="N45" s="86" t="s">
        <v>93</v>
      </c>
    </row>
    <row r="46" spans="3:16" x14ac:dyDescent="0.35">
      <c r="D46" s="78" t="s">
        <v>81</v>
      </c>
      <c r="E46" s="37"/>
      <c r="F46" s="138">
        <f>SUM(Tabelle1[Story-Points])</f>
        <v>242</v>
      </c>
      <c r="G46" s="81" t="s">
        <v>82</v>
      </c>
      <c r="H46" s="139">
        <f>COUNTIF(Tabelle1[Status],"bereit")</f>
        <v>3</v>
      </c>
      <c r="L46" s="78" t="s">
        <v>94</v>
      </c>
      <c r="M46" s="141">
        <f>SUMIFS(Tabelle1[Story-Points],Tabelle1[Sprint Nr.],1)</f>
        <v>37</v>
      </c>
      <c r="N46" s="86" t="s">
        <v>95</v>
      </c>
    </row>
    <row r="47" spans="3:16" x14ac:dyDescent="0.35">
      <c r="D47" s="78" t="s">
        <v>83</v>
      </c>
      <c r="E47" s="37"/>
      <c r="F47" s="138">
        <f>MAX(Tabelle1[Sprint Nr.])</f>
        <v>6</v>
      </c>
      <c r="G47" s="81" t="s">
        <v>84</v>
      </c>
      <c r="H47" s="139">
        <f>COUNTIF(Tabelle1[Status],"Schritt 1")</f>
        <v>2</v>
      </c>
      <c r="L47" s="78" t="s">
        <v>96</v>
      </c>
      <c r="M47" s="141">
        <f>SUMIFS(Tabelle1[Story-Points],Tabelle1[Sprint Nr.],1,Tabelle1[Status],"fertig")</f>
        <v>37</v>
      </c>
      <c r="N47" s="86" t="s">
        <v>97</v>
      </c>
    </row>
    <row r="48" spans="3:16" x14ac:dyDescent="0.35">
      <c r="D48" s="78"/>
      <c r="E48" s="37"/>
      <c r="F48" s="71"/>
      <c r="G48" s="81" t="s">
        <v>85</v>
      </c>
      <c r="H48" s="139">
        <f>COUNTIF(Tabelle1[Status],"Schritt 2")</f>
        <v>3</v>
      </c>
      <c r="L48" s="78" t="s">
        <v>98</v>
      </c>
      <c r="M48" s="142">
        <f>M46/1</f>
        <v>37</v>
      </c>
      <c r="N48" s="86" t="s">
        <v>99</v>
      </c>
    </row>
    <row r="49" spans="4:14" ht="15" thickBot="1" x14ac:dyDescent="0.4">
      <c r="D49" s="78"/>
      <c r="E49" s="37"/>
      <c r="F49" s="71"/>
      <c r="G49" s="81" t="s">
        <v>86</v>
      </c>
      <c r="H49" s="139">
        <f>COUNTIF(Tabelle1[Status],"Schritt 3")</f>
        <v>1</v>
      </c>
      <c r="L49" s="78" t="s">
        <v>100</v>
      </c>
      <c r="M49" s="142">
        <f>M47/1</f>
        <v>37</v>
      </c>
      <c r="N49" s="86" t="s">
        <v>101</v>
      </c>
    </row>
    <row r="50" spans="4:14" ht="15" thickBot="1" x14ac:dyDescent="0.4">
      <c r="D50" s="78"/>
      <c r="E50" s="37"/>
      <c r="F50" s="71"/>
      <c r="G50" s="81" t="s">
        <v>87</v>
      </c>
      <c r="H50" s="139">
        <f>COUNTIF(Tabelle1[Status],"fertig")</f>
        <v>12</v>
      </c>
      <c r="L50" s="90" t="s">
        <v>102</v>
      </c>
      <c r="M50" s="91"/>
      <c r="N50" s="87"/>
    </row>
    <row r="51" spans="4:14" ht="15" thickBot="1" x14ac:dyDescent="0.4">
      <c r="D51" s="82"/>
      <c r="E51" s="83"/>
      <c r="F51" s="84"/>
      <c r="G51" s="85" t="s">
        <v>88</v>
      </c>
      <c r="H51" s="140">
        <f>COUNTIF(Tabelle1[Status],"gestrichen")</f>
        <v>0</v>
      </c>
      <c r="L51" s="78" t="s">
        <v>103</v>
      </c>
      <c r="M51" s="143">
        <f>M47/M46</f>
        <v>1</v>
      </c>
      <c r="N51" s="86" t="s">
        <v>104</v>
      </c>
    </row>
    <row r="52" spans="4:14" x14ac:dyDescent="0.35">
      <c r="L52" s="78" t="s">
        <v>105</v>
      </c>
      <c r="M52" s="143">
        <f>M45/F45</f>
        <v>0.16</v>
      </c>
      <c r="N52" s="86" t="s">
        <v>106</v>
      </c>
    </row>
    <row r="53" spans="4:14" ht="15" thickBot="1" x14ac:dyDescent="0.4">
      <c r="L53" s="82" t="s">
        <v>107</v>
      </c>
      <c r="M53" s="144">
        <f>M47/F46</f>
        <v>0.15289256198347106</v>
      </c>
      <c r="N53" s="86" t="s">
        <v>108</v>
      </c>
    </row>
    <row r="55" spans="4:14" ht="15" thickBot="1" x14ac:dyDescent="0.4"/>
    <row r="56" spans="4:14" x14ac:dyDescent="0.35">
      <c r="L56" s="88" t="s">
        <v>109</v>
      </c>
      <c r="M56" s="89"/>
      <c r="N56" s="86"/>
    </row>
    <row r="57" spans="4:14" x14ac:dyDescent="0.35">
      <c r="L57" s="78" t="s">
        <v>90</v>
      </c>
      <c r="M57" s="141">
        <f>COUNTIF(Tabelle1[Sprint Nr.],2)</f>
        <v>4</v>
      </c>
      <c r="N57" s="86" t="s">
        <v>91</v>
      </c>
    </row>
    <row r="58" spans="4:14" x14ac:dyDescent="0.35">
      <c r="L58" s="78" t="s">
        <v>92</v>
      </c>
      <c r="M58" s="141">
        <f>COUNTIFS(Tabelle1[Sprint Nr.],2,Tabelle1[Status],"fertig")</f>
        <v>4</v>
      </c>
      <c r="N58" s="86" t="s">
        <v>93</v>
      </c>
    </row>
    <row r="59" spans="4:14" x14ac:dyDescent="0.35">
      <c r="L59" s="78" t="s">
        <v>94</v>
      </c>
      <c r="M59" s="141">
        <f>SUMIFS(Tabelle1[Story-Points],Tabelle1[Sprint Nr.],2)</f>
        <v>31</v>
      </c>
      <c r="N59" s="86" t="s">
        <v>95</v>
      </c>
    </row>
    <row r="60" spans="4:14" x14ac:dyDescent="0.35">
      <c r="L60" s="78" t="s">
        <v>96</v>
      </c>
      <c r="M60" s="141">
        <f>SUMIFS(Tabelle1[Story-Points],Tabelle1[Sprint Nr.],2,Tabelle1[Status],"fertig")</f>
        <v>31</v>
      </c>
      <c r="N60" s="86" t="s">
        <v>97</v>
      </c>
    </row>
    <row r="61" spans="4:14" x14ac:dyDescent="0.35">
      <c r="L61" s="78" t="s">
        <v>98</v>
      </c>
      <c r="M61" s="142">
        <f>M59/2</f>
        <v>15.5</v>
      </c>
      <c r="N61" s="86" t="s">
        <v>110</v>
      </c>
    </row>
    <row r="62" spans="4:14" ht="15" thickBot="1" x14ac:dyDescent="0.4">
      <c r="L62" s="78" t="s">
        <v>100</v>
      </c>
      <c r="M62" s="142">
        <f>M60/2</f>
        <v>15.5</v>
      </c>
      <c r="N62" s="86" t="s">
        <v>111</v>
      </c>
    </row>
    <row r="63" spans="4:14" ht="15" thickBot="1" x14ac:dyDescent="0.4">
      <c r="L63" s="90" t="s">
        <v>102</v>
      </c>
      <c r="M63" s="91"/>
      <c r="N63" s="87"/>
    </row>
    <row r="64" spans="4:14" x14ac:dyDescent="0.35">
      <c r="L64" s="78" t="s">
        <v>103</v>
      </c>
      <c r="M64" s="143">
        <f>M60/M59</f>
        <v>1</v>
      </c>
      <c r="N64" s="86" t="s">
        <v>104</v>
      </c>
    </row>
    <row r="65" spans="12:14" x14ac:dyDescent="0.35">
      <c r="L65" s="78" t="s">
        <v>105</v>
      </c>
      <c r="M65" s="143">
        <f>(M45+M58)/F45</f>
        <v>0.32</v>
      </c>
      <c r="N65" s="86" t="s">
        <v>106</v>
      </c>
    </row>
    <row r="66" spans="12:14" ht="15" thickBot="1" x14ac:dyDescent="0.4">
      <c r="L66" s="82" t="s">
        <v>107</v>
      </c>
      <c r="M66" s="144">
        <f>(M47+M60)/F46</f>
        <v>0.28099173553719009</v>
      </c>
      <c r="N66" s="86" t="s">
        <v>108</v>
      </c>
    </row>
    <row r="68" spans="12:14" ht="15" thickBot="1" x14ac:dyDescent="0.4"/>
    <row r="69" spans="12:14" x14ac:dyDescent="0.35">
      <c r="L69" s="88" t="s">
        <v>112</v>
      </c>
      <c r="M69" s="89"/>
      <c r="N69" s="86"/>
    </row>
    <row r="70" spans="12:14" x14ac:dyDescent="0.35">
      <c r="L70" s="78" t="s">
        <v>90</v>
      </c>
      <c r="M70" s="141">
        <f>COUNTIF(Tabelle1[Sprint Nr.],3)</f>
        <v>4</v>
      </c>
      <c r="N70" s="86" t="s">
        <v>91</v>
      </c>
    </row>
    <row r="71" spans="12:14" x14ac:dyDescent="0.35">
      <c r="L71" s="78" t="s">
        <v>92</v>
      </c>
      <c r="M71" s="141">
        <f>COUNTIFS(Tabelle1[Sprint Nr.],3,Tabelle1[Status],"fertig")</f>
        <v>4</v>
      </c>
      <c r="N71" s="86" t="s">
        <v>93</v>
      </c>
    </row>
    <row r="72" spans="12:14" x14ac:dyDescent="0.35">
      <c r="L72" s="78" t="s">
        <v>94</v>
      </c>
      <c r="M72" s="141">
        <f>SUMIFS(Tabelle1[Story-Points],Tabelle1[Sprint Nr.],3)</f>
        <v>52</v>
      </c>
      <c r="N72" s="86" t="s">
        <v>95</v>
      </c>
    </row>
    <row r="73" spans="12:14" x14ac:dyDescent="0.35">
      <c r="L73" s="78" t="s">
        <v>96</v>
      </c>
      <c r="M73" s="141">
        <f>SUMIFS(Tabelle1[Story-Points],Tabelle1[Sprint Nr.],3,Tabelle1[Status],"fertig")</f>
        <v>52</v>
      </c>
      <c r="N73" s="86" t="s">
        <v>97</v>
      </c>
    </row>
    <row r="74" spans="12:14" x14ac:dyDescent="0.35">
      <c r="L74" s="78" t="s">
        <v>98</v>
      </c>
      <c r="M74" s="142">
        <f>M72/3</f>
        <v>17.333333333333332</v>
      </c>
      <c r="N74" s="86" t="s">
        <v>113</v>
      </c>
    </row>
    <row r="75" spans="12:14" ht="15" thickBot="1" x14ac:dyDescent="0.4">
      <c r="L75" s="78" t="s">
        <v>100</v>
      </c>
      <c r="M75" s="142">
        <f>M73/3</f>
        <v>17.333333333333332</v>
      </c>
      <c r="N75" s="86" t="s">
        <v>114</v>
      </c>
    </row>
    <row r="76" spans="12:14" ht="15" thickBot="1" x14ac:dyDescent="0.4">
      <c r="L76" s="90" t="s">
        <v>102</v>
      </c>
      <c r="M76" s="91"/>
      <c r="N76" s="87"/>
    </row>
    <row r="77" spans="12:14" x14ac:dyDescent="0.35">
      <c r="L77" s="78" t="s">
        <v>103</v>
      </c>
      <c r="M77" s="143">
        <f>M73/M72</f>
        <v>1</v>
      </c>
      <c r="N77" s="86" t="s">
        <v>104</v>
      </c>
    </row>
    <row r="78" spans="12:14" x14ac:dyDescent="0.35">
      <c r="L78" s="78" t="s">
        <v>105</v>
      </c>
      <c r="M78" s="143">
        <f>(M45+M58+M71)/F45</f>
        <v>0.48</v>
      </c>
      <c r="N78" s="86" t="s">
        <v>106</v>
      </c>
    </row>
    <row r="79" spans="12:14" ht="15" thickBot="1" x14ac:dyDescent="0.4">
      <c r="L79" s="82" t="s">
        <v>107</v>
      </c>
      <c r="M79" s="144">
        <f>(M47+M60+M73)/F46</f>
        <v>0.49586776859504134</v>
      </c>
      <c r="N79" s="86" t="s">
        <v>108</v>
      </c>
    </row>
    <row r="81" spans="12:14" ht="15" thickBot="1" x14ac:dyDescent="0.4"/>
    <row r="82" spans="12:14" x14ac:dyDescent="0.35">
      <c r="L82" s="88" t="s">
        <v>115</v>
      </c>
      <c r="M82" s="89"/>
      <c r="N82" s="86"/>
    </row>
    <row r="83" spans="12:14" x14ac:dyDescent="0.35">
      <c r="L83" s="78" t="s">
        <v>90</v>
      </c>
      <c r="M83" s="141">
        <f>COUNTIF(Tabelle1[Sprint Nr.],4)</f>
        <v>4</v>
      </c>
      <c r="N83" s="86" t="s">
        <v>91</v>
      </c>
    </row>
    <row r="84" spans="12:14" x14ac:dyDescent="0.35">
      <c r="L84" s="78" t="s">
        <v>92</v>
      </c>
      <c r="M84" s="141">
        <f>COUNTIFS(Tabelle1[Sprint Nr.],4,Tabelle1[Status],"fertig")</f>
        <v>0</v>
      </c>
      <c r="N84" s="86" t="s">
        <v>93</v>
      </c>
    </row>
    <row r="85" spans="12:14" x14ac:dyDescent="0.35">
      <c r="L85" s="78" t="s">
        <v>94</v>
      </c>
      <c r="M85" s="141">
        <f>SUMIFS(Tabelle1[Story-Points],Tabelle1[Sprint Nr.],4)</f>
        <v>45</v>
      </c>
      <c r="N85" s="86" t="s">
        <v>95</v>
      </c>
    </row>
    <row r="86" spans="12:14" x14ac:dyDescent="0.35">
      <c r="L86" s="78" t="s">
        <v>96</v>
      </c>
      <c r="M86" s="141">
        <f>SUMIFS(Tabelle1[Story-Points],Tabelle1[Sprint Nr.],4,Tabelle1[Status],"fertig")</f>
        <v>0</v>
      </c>
      <c r="N86" s="86" t="s">
        <v>97</v>
      </c>
    </row>
    <row r="87" spans="12:14" x14ac:dyDescent="0.35">
      <c r="L87" s="78" t="s">
        <v>98</v>
      </c>
      <c r="M87" s="142">
        <f>M85/4</f>
        <v>11.25</v>
      </c>
      <c r="N87" s="86" t="s">
        <v>116</v>
      </c>
    </row>
    <row r="88" spans="12:14" ht="15" thickBot="1" x14ac:dyDescent="0.4">
      <c r="L88" s="78" t="s">
        <v>100</v>
      </c>
      <c r="M88" s="142">
        <f>M86/4</f>
        <v>0</v>
      </c>
      <c r="N88" s="86" t="s">
        <v>117</v>
      </c>
    </row>
    <row r="89" spans="12:14" ht="15" thickBot="1" x14ac:dyDescent="0.4">
      <c r="L89" s="90" t="s">
        <v>102</v>
      </c>
      <c r="M89" s="91"/>
      <c r="N89" s="87"/>
    </row>
    <row r="90" spans="12:14" x14ac:dyDescent="0.35">
      <c r="L90" s="78" t="s">
        <v>103</v>
      </c>
      <c r="M90" s="143">
        <f>M86/M85</f>
        <v>0</v>
      </c>
      <c r="N90" s="86" t="s">
        <v>104</v>
      </c>
    </row>
    <row r="91" spans="12:14" x14ac:dyDescent="0.35">
      <c r="L91" s="78" t="s">
        <v>105</v>
      </c>
      <c r="M91" s="143">
        <f>(M45+M58+M71+M84)/F45</f>
        <v>0.48</v>
      </c>
      <c r="N91" s="86" t="s">
        <v>106</v>
      </c>
    </row>
    <row r="92" spans="12:14" ht="15" thickBot="1" x14ac:dyDescent="0.4">
      <c r="L92" s="82" t="s">
        <v>107</v>
      </c>
      <c r="M92" s="144">
        <f>(M47+M60+M73+M86)/F46</f>
        <v>0.49586776859504134</v>
      </c>
      <c r="N92" s="86" t="s">
        <v>108</v>
      </c>
    </row>
    <row r="94" spans="12:14" ht="15" thickBot="1" x14ac:dyDescent="0.4"/>
    <row r="95" spans="12:14" x14ac:dyDescent="0.35">
      <c r="L95" s="88" t="s">
        <v>118</v>
      </c>
      <c r="M95" s="89"/>
      <c r="N95" s="86"/>
    </row>
    <row r="96" spans="12:14" x14ac:dyDescent="0.35">
      <c r="L96" s="78" t="s">
        <v>90</v>
      </c>
      <c r="M96" s="141">
        <f>COUNTIF(Tabelle1[Sprint Nr.],5)</f>
        <v>5</v>
      </c>
      <c r="N96" s="86" t="s">
        <v>91</v>
      </c>
    </row>
    <row r="97" spans="12:14" x14ac:dyDescent="0.35">
      <c r="L97" s="78" t="s">
        <v>92</v>
      </c>
      <c r="M97" s="141">
        <f>COUNTIFS(Tabelle1[Sprint Nr.],5,Tabelle1[Status],"fertig")</f>
        <v>0</v>
      </c>
      <c r="N97" s="86" t="s">
        <v>93</v>
      </c>
    </row>
    <row r="98" spans="12:14" x14ac:dyDescent="0.35">
      <c r="L98" s="78" t="s">
        <v>94</v>
      </c>
      <c r="M98" s="141">
        <f>SUMIFS(Tabelle1[Story-Points],Tabelle1[Sprint Nr.],5)</f>
        <v>42</v>
      </c>
      <c r="N98" s="86" t="s">
        <v>95</v>
      </c>
    </row>
    <row r="99" spans="12:14" x14ac:dyDescent="0.35">
      <c r="L99" s="78" t="s">
        <v>96</v>
      </c>
      <c r="M99" s="141">
        <f>SUMIFS(Tabelle1[Story-Points],Tabelle1[Sprint Nr.],5,Tabelle1[Status],"fertig")</f>
        <v>0</v>
      </c>
      <c r="N99" s="86" t="s">
        <v>97</v>
      </c>
    </row>
    <row r="100" spans="12:14" x14ac:dyDescent="0.35">
      <c r="L100" s="78" t="s">
        <v>98</v>
      </c>
      <c r="M100" s="142">
        <f>M98/5</f>
        <v>8.4</v>
      </c>
      <c r="N100" s="86" t="s">
        <v>119</v>
      </c>
    </row>
    <row r="101" spans="12:14" ht="15" thickBot="1" x14ac:dyDescent="0.4">
      <c r="L101" s="78" t="s">
        <v>100</v>
      </c>
      <c r="M101" s="142">
        <f>M99/5</f>
        <v>0</v>
      </c>
      <c r="N101" s="86" t="s">
        <v>120</v>
      </c>
    </row>
    <row r="102" spans="12:14" ht="15" thickBot="1" x14ac:dyDescent="0.4">
      <c r="L102" s="90" t="s">
        <v>102</v>
      </c>
      <c r="M102" s="91"/>
      <c r="N102" s="87"/>
    </row>
    <row r="103" spans="12:14" x14ac:dyDescent="0.35">
      <c r="L103" s="78" t="s">
        <v>103</v>
      </c>
      <c r="M103" s="143">
        <f>M99/M98</f>
        <v>0</v>
      </c>
      <c r="N103" s="86" t="s">
        <v>104</v>
      </c>
    </row>
    <row r="104" spans="12:14" x14ac:dyDescent="0.35">
      <c r="L104" s="78" t="s">
        <v>105</v>
      </c>
      <c r="M104" s="143">
        <f>(M45+M58+M71+M84+M97)/F45</f>
        <v>0.48</v>
      </c>
      <c r="N104" s="86" t="s">
        <v>106</v>
      </c>
    </row>
    <row r="105" spans="12:14" ht="15" thickBot="1" x14ac:dyDescent="0.4">
      <c r="L105" s="82" t="s">
        <v>107</v>
      </c>
      <c r="M105" s="144">
        <f>(M47+M60+M73+M86+M99)/F46</f>
        <v>0.49586776859504134</v>
      </c>
      <c r="N105" s="86" t="s">
        <v>108</v>
      </c>
    </row>
    <row r="107" spans="12:14" ht="15" thickBot="1" x14ac:dyDescent="0.4"/>
    <row r="108" spans="12:14" x14ac:dyDescent="0.35">
      <c r="L108" s="88" t="s">
        <v>121</v>
      </c>
      <c r="M108" s="89"/>
      <c r="N108" s="86"/>
    </row>
    <row r="109" spans="12:14" x14ac:dyDescent="0.35">
      <c r="L109" s="78" t="s">
        <v>90</v>
      </c>
      <c r="M109" s="141">
        <f>COUNTIF(Tabelle1[Sprint Nr.],6)</f>
        <v>4</v>
      </c>
      <c r="N109" s="86" t="s">
        <v>91</v>
      </c>
    </row>
    <row r="110" spans="12:14" x14ac:dyDescent="0.35">
      <c r="L110" s="78" t="s">
        <v>92</v>
      </c>
      <c r="M110" s="141">
        <f>COUNTIFS(Tabelle1[Sprint Nr.],6,Tabelle1[Status],"fertig")</f>
        <v>0</v>
      </c>
      <c r="N110" s="86" t="s">
        <v>93</v>
      </c>
    </row>
    <row r="111" spans="12:14" x14ac:dyDescent="0.35">
      <c r="L111" s="78" t="s">
        <v>94</v>
      </c>
      <c r="M111" s="141">
        <f>SUMIFS(Tabelle1[Story-Points],Tabelle1[Sprint Nr.],6)</f>
        <v>35</v>
      </c>
      <c r="N111" s="86" t="s">
        <v>95</v>
      </c>
    </row>
    <row r="112" spans="12:14" x14ac:dyDescent="0.35">
      <c r="L112" s="78" t="s">
        <v>96</v>
      </c>
      <c r="M112" s="141">
        <f>SUMIFS(Tabelle1[Story-Points],Tabelle1[Sprint Nr.],6,Tabelle1[Status],"fertig")</f>
        <v>0</v>
      </c>
      <c r="N112" s="86" t="s">
        <v>97</v>
      </c>
    </row>
    <row r="113" spans="12:14" x14ac:dyDescent="0.35">
      <c r="L113" s="78" t="s">
        <v>98</v>
      </c>
      <c r="M113" s="142">
        <f>M111/6</f>
        <v>5.833333333333333</v>
      </c>
      <c r="N113" s="86" t="s">
        <v>122</v>
      </c>
    </row>
    <row r="114" spans="12:14" ht="15" thickBot="1" x14ac:dyDescent="0.4">
      <c r="L114" s="78" t="s">
        <v>100</v>
      </c>
      <c r="M114" s="142">
        <f>M112/6</f>
        <v>0</v>
      </c>
      <c r="N114" s="86" t="s">
        <v>123</v>
      </c>
    </row>
    <row r="115" spans="12:14" ht="15" thickBot="1" x14ac:dyDescent="0.4">
      <c r="L115" s="90" t="s">
        <v>102</v>
      </c>
      <c r="M115" s="91"/>
      <c r="N115" s="87"/>
    </row>
    <row r="116" spans="12:14" x14ac:dyDescent="0.35">
      <c r="L116" s="78" t="s">
        <v>103</v>
      </c>
      <c r="M116" s="143">
        <f>M112/M111</f>
        <v>0</v>
      </c>
      <c r="N116" s="86" t="s">
        <v>104</v>
      </c>
    </row>
    <row r="117" spans="12:14" x14ac:dyDescent="0.35">
      <c r="L117" s="78" t="s">
        <v>105</v>
      </c>
      <c r="M117" s="143">
        <f>(M45+M58+M71+M84+M97+M110)/F45</f>
        <v>0.48</v>
      </c>
      <c r="N117" s="86" t="s">
        <v>106</v>
      </c>
    </row>
    <row r="118" spans="12:14" ht="15" thickBot="1" x14ac:dyDescent="0.4">
      <c r="L118" s="82" t="s">
        <v>107</v>
      </c>
      <c r="M118" s="144">
        <f>(M47+M60+M73+M86+M99+M112)/F46</f>
        <v>0.49586776859504134</v>
      </c>
      <c r="N118" s="86" t="s">
        <v>108</v>
      </c>
    </row>
    <row r="121" spans="12:14" x14ac:dyDescent="0.35">
      <c r="L121" s="92" t="s">
        <v>124</v>
      </c>
      <c r="M121" s="86"/>
    </row>
    <row r="122" spans="12:14" x14ac:dyDescent="0.35">
      <c r="L122" s="92" t="s">
        <v>125</v>
      </c>
      <c r="M122" s="86"/>
    </row>
    <row r="123" spans="12:14" x14ac:dyDescent="0.35">
      <c r="L123" s="92" t="s">
        <v>126</v>
      </c>
      <c r="M123" s="86"/>
    </row>
    <row r="124" spans="12:14" x14ac:dyDescent="0.35">
      <c r="L124" s="86" t="s">
        <v>127</v>
      </c>
      <c r="M124" s="86" t="s">
        <v>128</v>
      </c>
    </row>
    <row r="125" spans="12:14" x14ac:dyDescent="0.35">
      <c r="L125" s="93" t="s">
        <v>92</v>
      </c>
      <c r="M125" s="86" t="s">
        <v>128</v>
      </c>
    </row>
    <row r="126" spans="12:14" x14ac:dyDescent="0.35">
      <c r="L126" s="93" t="s">
        <v>94</v>
      </c>
      <c r="M126" s="86" t="s">
        <v>128</v>
      </c>
    </row>
    <row r="127" spans="12:14" x14ac:dyDescent="0.35">
      <c r="L127" s="93" t="s">
        <v>96</v>
      </c>
      <c r="M127" s="86" t="s">
        <v>128</v>
      </c>
    </row>
    <row r="128" spans="12:14" x14ac:dyDescent="0.35">
      <c r="L128" s="93" t="s">
        <v>98</v>
      </c>
      <c r="M128" s="86" t="s">
        <v>128</v>
      </c>
    </row>
    <row r="129" spans="12:13" x14ac:dyDescent="0.35">
      <c r="L129" s="93" t="s">
        <v>100</v>
      </c>
      <c r="M129" s="86" t="s">
        <v>128</v>
      </c>
    </row>
    <row r="130" spans="12:13" x14ac:dyDescent="0.35">
      <c r="L130" s="94" t="s">
        <v>102</v>
      </c>
      <c r="M130" s="86"/>
    </row>
    <row r="131" spans="12:13" x14ac:dyDescent="0.35">
      <c r="L131" s="93" t="s">
        <v>103</v>
      </c>
      <c r="M131" s="86" t="s">
        <v>129</v>
      </c>
    </row>
    <row r="132" spans="12:13" x14ac:dyDescent="0.35">
      <c r="L132" s="93" t="s">
        <v>105</v>
      </c>
      <c r="M132" s="86" t="s">
        <v>130</v>
      </c>
    </row>
    <row r="133" spans="12:13" x14ac:dyDescent="0.35">
      <c r="L133" s="93" t="s">
        <v>107</v>
      </c>
      <c r="M133" s="86" t="s">
        <v>131</v>
      </c>
    </row>
  </sheetData>
  <phoneticPr fontId="5" type="noConversion"/>
  <dataValidations disablePrompts="1" count="2">
    <dataValidation type="list" allowBlank="1" showInputMessage="1" showErrorMessage="1" sqref="E37:E38" xr:uid="{00000000-0002-0000-0200-000001000000}">
      <formula1>"Soziales, Politisches, Technisches, Ökologisches, Ökonomisches,Kulturelles, Kunden, Lieferanten, Konkurrenz, Mitarbeiter, Eigentümer, Behörden, Öffentlichkeit, Interne Org.-Einheiten, benachbarte Projekte"</formula1>
    </dataValidation>
    <dataValidation type="list" allowBlank="1" showInputMessage="1" showErrorMessage="1" sqref="K10:L39" xr:uid="{F762D2AB-1A67-4C12-884F-DF4A227A67C8}">
      <formula1>"erfasst,bereit,Schritt 1,Schritt 2,Schritt 3,fertig,gestrichen"</formula1>
    </dataValidation>
  </dataValidations>
  <pageMargins left="0.19685039370078741" right="0.23622047244094491" top="0.78740157480314965" bottom="0.19685039370078741" header="0.19685039370078741" footer="0.19685039370078741"/>
  <pageSetup paperSize="9" scale="37" orientation="portrait" horizontalDpi="4294967293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9"/>
  <sheetViews>
    <sheetView zoomScaleNormal="100" workbookViewId="0"/>
  </sheetViews>
  <sheetFormatPr baseColWidth="10" defaultRowHeight="14.5" x14ac:dyDescent="0.35"/>
  <cols>
    <col min="1" max="1" width="3.26953125" customWidth="1"/>
    <col min="2" max="8" width="28.7265625" customWidth="1"/>
  </cols>
  <sheetData>
    <row r="1" spans="1:8" x14ac:dyDescent="0.35">
      <c r="A1" t="s">
        <v>20</v>
      </c>
      <c r="C1" s="1"/>
    </row>
    <row r="2" spans="1:8" ht="15" thickBot="1" x14ac:dyDescent="0.4">
      <c r="C2" s="1"/>
    </row>
    <row r="3" spans="1:8" ht="18.5" x14ac:dyDescent="0.45">
      <c r="B3" s="3" t="s">
        <v>28</v>
      </c>
      <c r="C3" s="4"/>
      <c r="D3" s="5"/>
      <c r="E3" s="5"/>
      <c r="F3" s="5"/>
      <c r="G3" s="5"/>
      <c r="H3" s="6"/>
    </row>
    <row r="4" spans="1:8" x14ac:dyDescent="0.35">
      <c r="B4" s="7" t="s">
        <v>10</v>
      </c>
      <c r="C4" s="9" t="s">
        <v>4</v>
      </c>
      <c r="D4" s="9"/>
      <c r="E4" s="9"/>
      <c r="F4" s="9"/>
      <c r="G4" s="9"/>
      <c r="H4" s="10"/>
    </row>
    <row r="5" spans="1:8" x14ac:dyDescent="0.35">
      <c r="B5" s="7" t="s">
        <v>11</v>
      </c>
      <c r="C5" s="9" t="s">
        <v>12</v>
      </c>
      <c r="D5" s="9"/>
      <c r="E5" s="9"/>
      <c r="F5" s="9"/>
      <c r="G5" s="9"/>
      <c r="H5" s="10"/>
    </row>
    <row r="6" spans="1:8" x14ac:dyDescent="0.35">
      <c r="B6" s="7" t="s">
        <v>13</v>
      </c>
      <c r="C6" s="9" t="s">
        <v>14</v>
      </c>
      <c r="D6" s="9"/>
      <c r="E6" s="9"/>
      <c r="F6" s="9"/>
      <c r="G6" s="9"/>
      <c r="H6" s="10"/>
    </row>
    <row r="7" spans="1:8" ht="15" thickBot="1" x14ac:dyDescent="0.4">
      <c r="B7" s="11" t="s">
        <v>15</v>
      </c>
      <c r="C7" s="12"/>
      <c r="D7" s="13"/>
      <c r="E7" s="13"/>
      <c r="F7" s="13"/>
      <c r="G7" s="13"/>
      <c r="H7" s="14"/>
    </row>
    <row r="8" spans="1:8" ht="15" thickBot="1" x14ac:dyDescent="0.4"/>
    <row r="9" spans="1:8" ht="21" x14ac:dyDescent="0.5">
      <c r="A9" s="99"/>
      <c r="B9" s="145" t="s">
        <v>254</v>
      </c>
      <c r="C9" s="146" t="s">
        <v>255</v>
      </c>
      <c r="D9" s="146" t="s">
        <v>256</v>
      </c>
      <c r="E9" s="146" t="s">
        <v>257</v>
      </c>
      <c r="F9" s="146" t="s">
        <v>258</v>
      </c>
      <c r="G9" s="146" t="s">
        <v>259</v>
      </c>
      <c r="H9" s="147"/>
    </row>
    <row r="10" spans="1:8" ht="21.5" thickBot="1" x14ac:dyDescent="0.55000000000000004">
      <c r="B10" s="148"/>
      <c r="C10" s="149"/>
      <c r="D10" s="149"/>
      <c r="E10" s="149"/>
      <c r="F10" s="149"/>
      <c r="G10" s="150"/>
      <c r="H10" s="151"/>
    </row>
    <row r="11" spans="1:8" ht="19" thickBot="1" x14ac:dyDescent="0.5">
      <c r="B11" s="134" t="s">
        <v>21</v>
      </c>
      <c r="C11" s="135" t="s">
        <v>22</v>
      </c>
      <c r="D11" s="135" t="s">
        <v>23</v>
      </c>
      <c r="E11" s="135" t="s">
        <v>24</v>
      </c>
      <c r="F11" s="135" t="s">
        <v>25</v>
      </c>
      <c r="G11" s="135" t="s">
        <v>26</v>
      </c>
      <c r="H11" s="136" t="s">
        <v>27</v>
      </c>
    </row>
    <row r="12" spans="1:8" x14ac:dyDescent="0.35">
      <c r="B12" s="127" t="str">
        <f>IFERROR(INDEX(Tabelle1[User-Story-Name],_xlfn.AGGREGATE(15,3,ROW(Tabelle1[User-Story-Name])/(Tabelle1[Status]='KANBAN-Board'!B$11),ROW()-9)-9,1),"")</f>
        <v>Name User-Story 24</v>
      </c>
      <c r="C12" s="128" t="str">
        <f>IFERROR(INDEX(Tabelle1[User-Story-Name],_xlfn.AGGREGATE(15,3,ROW(Tabelle1[User-Story-Name])/(Tabelle1[Status]='KANBAN-Board'!C$11),ROW()-9)-9,1),"")</f>
        <v>Name User-Story 21</v>
      </c>
      <c r="D12" s="129" t="str">
        <f>IFERROR(INDEX(Tabelle1[User-Story-Name],_xlfn.AGGREGATE(15,3,ROW(Tabelle1[User-Story-Name])/(Tabelle1[Status]='KANBAN-Board'!D$11),ROW()-9)-9,1),"")</f>
        <v/>
      </c>
      <c r="E12" s="130" t="str">
        <f>IFERROR(INDEX(Tabelle1[User-Story-Name],_xlfn.AGGREGATE(15,3,ROW(Tabelle1[User-Story-Name])/(Tabelle1[Status]='KANBAN-Board'!E$11),ROW()-9)-9,1),"")</f>
        <v>Name User-Story 17</v>
      </c>
      <c r="F12" s="131" t="str">
        <f>IFERROR(INDEX(Tabelle1[User-Story-Name],_xlfn.AGGREGATE(15,3,ROW(Tabelle1[User-Story-Name])/(Tabelle1[Status]='KANBAN-Board'!F$11),ROW()-9)-9,1),"")</f>
        <v/>
      </c>
      <c r="G12" s="132" t="str">
        <f>IFERROR(INDEX(Tabelle1[User-Story-Name],_xlfn.AGGREGATE(15,3,ROW(Tabelle1[User-Story-Name])/(Tabelle1[Status]='KANBAN-Board'!G$11),ROW()-9)-9,1),"")</f>
        <v>Name User-Story 3</v>
      </c>
      <c r="H12" s="133" t="str">
        <f>IFERROR(INDEX(Tabelle1[User-Story-Name],_xlfn.AGGREGATE(15,3,ROW(Tabelle1[User-Story-Name])/(Tabelle1[Status]='KANBAN-Board'!H$11),ROW()-9)-9,1),"")</f>
        <v/>
      </c>
    </row>
    <row r="13" spans="1:8" x14ac:dyDescent="0.35">
      <c r="B13" s="41" t="str">
        <f>IFERROR(INDEX(Tabelle1[User-Story-Name],_xlfn.AGGREGATE(15,3,ROW(Tabelle1[User-Story-Name])/(Tabelle1[Status]='KANBAN-Board'!B$11),ROW()-9)-9,1),"")</f>
        <v>Name User-Story 25</v>
      </c>
      <c r="C13" s="50" t="str">
        <f>IFERROR(INDEX(Tabelle1[User-Story-Name],_xlfn.AGGREGATE(15,3,ROW(Tabelle1[User-Story-Name])/(Tabelle1[Status]='KANBAN-Board'!C$11),ROW()-9)-9,1),"")</f>
        <v/>
      </c>
      <c r="D13" s="47" t="str">
        <f>IFERROR(INDEX(Tabelle1[User-Story-Name],_xlfn.AGGREGATE(15,3,ROW(Tabelle1[User-Story-Name])/(Tabelle1[Status]='KANBAN-Board'!D$11),ROW()-9)-9,1),"")</f>
        <v/>
      </c>
      <c r="E13" s="45" t="str">
        <f>IFERROR(INDEX(Tabelle1[User-Story-Name],_xlfn.AGGREGATE(15,3,ROW(Tabelle1[User-Story-Name])/(Tabelle1[Status]='KANBAN-Board'!E$11),ROW()-9)-9,1),"")</f>
        <v/>
      </c>
      <c r="F13" s="95" t="str">
        <f>IFERROR(INDEX(Tabelle1[User-Story-Name],_xlfn.AGGREGATE(15,3,ROW(Tabelle1[User-Story-Name])/(Tabelle1[Status]='KANBAN-Board'!F$11),ROW()-9)-9,1),"")</f>
        <v/>
      </c>
      <c r="G13" s="96" t="str">
        <f>IFERROR(INDEX(Tabelle1[User-Story-Name],_xlfn.AGGREGATE(15,3,ROW(Tabelle1[User-Story-Name])/(Tabelle1[Status]='KANBAN-Board'!G$11),ROW()-9)-9,1),"")</f>
        <v>Name User-Story 4</v>
      </c>
      <c r="H13" s="43" t="str">
        <f>IFERROR(INDEX(Tabelle1[User-Story-Name],_xlfn.AGGREGATE(15,3,ROW(Tabelle1[User-Story-Name])/(Tabelle1[Status]='KANBAN-Board'!H$11),ROW()-9)-9,1),"")</f>
        <v/>
      </c>
    </row>
    <row r="14" spans="1:8" x14ac:dyDescent="0.35">
      <c r="B14" s="41" t="str">
        <f>IFERROR(INDEX(Tabelle1[User-Story-Name],_xlfn.AGGREGATE(15,3,ROW(Tabelle1[User-Story-Name])/(Tabelle1[Status]='KANBAN-Board'!B$11),ROW()-9)-9,1),"")</f>
        <v/>
      </c>
      <c r="C14" s="50" t="str">
        <f>IFERROR(INDEX(Tabelle1[User-Story-Name],_xlfn.AGGREGATE(15,3,ROW(Tabelle1[User-Story-Name])/(Tabelle1[Status]='KANBAN-Board'!C$11),ROW()-9)-9,1),"")</f>
        <v/>
      </c>
      <c r="D14" s="47" t="str">
        <f>IFERROR(INDEX(Tabelle1[User-Story-Name],_xlfn.AGGREGATE(15,3,ROW(Tabelle1[User-Story-Name])/(Tabelle1[Status]='KANBAN-Board'!D$11),ROW()-9)-9,1),"")</f>
        <v/>
      </c>
      <c r="E14" s="45" t="str">
        <f>IFERROR(INDEX(Tabelle1[User-Story-Name],_xlfn.AGGREGATE(15,3,ROW(Tabelle1[User-Story-Name])/(Tabelle1[Status]='KANBAN-Board'!E$11),ROW()-9)-9,1),"")</f>
        <v/>
      </c>
      <c r="F14" s="95" t="str">
        <f>IFERROR(INDEX(Tabelle1[User-Story-Name],_xlfn.AGGREGATE(15,3,ROW(Tabelle1[User-Story-Name])/(Tabelle1[Status]='KANBAN-Board'!F$11),ROW()-9)-9,1),"")</f>
        <v/>
      </c>
      <c r="G14" s="96" t="str">
        <f>IFERROR(INDEX(Tabelle1[User-Story-Name],_xlfn.AGGREGATE(15,3,ROW(Tabelle1[User-Story-Name])/(Tabelle1[Status]='KANBAN-Board'!G$11),ROW()-9)-9,1),"")</f>
        <v>Name User-Story 5</v>
      </c>
      <c r="H14" s="43" t="str">
        <f>IFERROR(INDEX(Tabelle1[User-Story-Name],_xlfn.AGGREGATE(15,3,ROW(Tabelle1[User-Story-Name])/(Tabelle1[Status]='KANBAN-Board'!H$11),ROW()-9)-9,1),"")</f>
        <v/>
      </c>
    </row>
    <row r="15" spans="1:8" x14ac:dyDescent="0.35">
      <c r="B15" s="41" t="str">
        <f>IFERROR(INDEX(Tabelle1[User-Story-Name],_xlfn.AGGREGATE(15,3,ROW(Tabelle1[User-Story-Name])/(Tabelle1[Status]='KANBAN-Board'!B$11),ROW()-9)-9,1),"")</f>
        <v/>
      </c>
      <c r="C15" s="50" t="str">
        <f>IFERROR(INDEX(Tabelle1[User-Story-Name],_xlfn.AGGREGATE(15,3,ROW(Tabelle1[User-Story-Name])/(Tabelle1[Status]='KANBAN-Board'!C$11),ROW()-9)-9,1),"")</f>
        <v/>
      </c>
      <c r="D15" s="47" t="str">
        <f>IFERROR(INDEX(Tabelle1[User-Story-Name],_xlfn.AGGREGATE(15,3,ROW(Tabelle1[User-Story-Name])/(Tabelle1[Status]='KANBAN-Board'!D$11),ROW()-9)-9,1),"")</f>
        <v/>
      </c>
      <c r="E15" s="45" t="str">
        <f>IFERROR(INDEX(Tabelle1[User-Story-Name],_xlfn.AGGREGATE(15,3,ROW(Tabelle1[User-Story-Name])/(Tabelle1[Status]='KANBAN-Board'!E$11),ROW()-9)-9,1),"")</f>
        <v/>
      </c>
      <c r="F15" s="95" t="str">
        <f>IFERROR(INDEX(Tabelle1[User-Story-Name],_xlfn.AGGREGATE(15,3,ROW(Tabelle1[User-Story-Name])/(Tabelle1[Status]='KANBAN-Board'!F$11),ROW()-9)-9,1),"")</f>
        <v/>
      </c>
      <c r="G15" s="96" t="str">
        <f>IFERROR(INDEX(Tabelle1[User-Story-Name],_xlfn.AGGREGATE(15,3,ROW(Tabelle1[User-Story-Name])/(Tabelle1[Status]='KANBAN-Board'!G$11),ROW()-9)-9,1),"")</f>
        <v>Name User-Story 6</v>
      </c>
      <c r="H15" s="43" t="str">
        <f>IFERROR(INDEX(Tabelle1[User-Story-Name],_xlfn.AGGREGATE(15,3,ROW(Tabelle1[User-Story-Name])/(Tabelle1[Status]='KANBAN-Board'!H$11),ROW()-9)-9,1),"")</f>
        <v/>
      </c>
    </row>
    <row r="16" spans="1:8" x14ac:dyDescent="0.35">
      <c r="B16" s="41" t="str">
        <f>IFERROR(INDEX(Tabelle1[User-Story-Name],_xlfn.AGGREGATE(15,3,ROW(Tabelle1[User-Story-Name])/(Tabelle1[Status]='KANBAN-Board'!B$11),ROW()-9)-9,1),"")</f>
        <v/>
      </c>
      <c r="C16" s="50" t="str">
        <f>IFERROR(INDEX(Tabelle1[User-Story-Name],_xlfn.AGGREGATE(15,3,ROW(Tabelle1[User-Story-Name])/(Tabelle1[Status]='KANBAN-Board'!C$11),ROW()-9)-9,1),"")</f>
        <v/>
      </c>
      <c r="D16" s="47" t="str">
        <f>IFERROR(INDEX(Tabelle1[User-Story-Name],_xlfn.AGGREGATE(15,3,ROW(Tabelle1[User-Story-Name])/(Tabelle1[Status]='KANBAN-Board'!D$11),ROW()-9)-9,1),"")</f>
        <v/>
      </c>
      <c r="E16" s="45" t="str">
        <f>IFERROR(INDEX(Tabelle1[User-Story-Name],_xlfn.AGGREGATE(15,3,ROW(Tabelle1[User-Story-Name])/(Tabelle1[Status]='KANBAN-Board'!E$11),ROW()-9)-9,1),"")</f>
        <v/>
      </c>
      <c r="F16" s="95" t="str">
        <f>IFERROR(INDEX(Tabelle1[User-Story-Name],_xlfn.AGGREGATE(15,3,ROW(Tabelle1[User-Story-Name])/(Tabelle1[Status]='KANBAN-Board'!F$11),ROW()-9)-9,1),"")</f>
        <v/>
      </c>
      <c r="G16" s="96" t="str">
        <f>IFERROR(INDEX(Tabelle1[User-Story-Name],_xlfn.AGGREGATE(15,3,ROW(Tabelle1[User-Story-Name])/(Tabelle1[Status]='KANBAN-Board'!G$11),ROW()-9)-9,1),"")</f>
        <v>Name User-Story 7</v>
      </c>
      <c r="H16" s="43" t="str">
        <f>IFERROR(INDEX(Tabelle1[User-Story-Name],_xlfn.AGGREGATE(15,3,ROW(Tabelle1[User-Story-Name])/(Tabelle1[Status]='KANBAN-Board'!H$11),ROW()-9)-9,1),"")</f>
        <v/>
      </c>
    </row>
    <row r="17" spans="2:8" x14ac:dyDescent="0.35">
      <c r="B17" s="41" t="str">
        <f>IFERROR(INDEX(Tabelle1[User-Story-Name],_xlfn.AGGREGATE(15,3,ROW(Tabelle1[User-Story-Name])/(Tabelle1[Status]='KANBAN-Board'!B$11),ROW()-9)-9,1),"")</f>
        <v/>
      </c>
      <c r="C17" s="50" t="str">
        <f>IFERROR(INDEX(Tabelle1[User-Story-Name],_xlfn.AGGREGATE(15,3,ROW(Tabelle1[User-Story-Name])/(Tabelle1[Status]='KANBAN-Board'!C$11),ROW()-9)-9,1),"")</f>
        <v/>
      </c>
      <c r="D17" s="47" t="str">
        <f>IFERROR(INDEX(Tabelle1[User-Story-Name],_xlfn.AGGREGATE(15,3,ROW(Tabelle1[User-Story-Name])/(Tabelle1[Status]='KANBAN-Board'!D$11),ROW()-9)-9,1),"")</f>
        <v/>
      </c>
      <c r="E17" s="45" t="str">
        <f>IFERROR(INDEX(Tabelle1[User-Story-Name],_xlfn.AGGREGATE(15,3,ROW(Tabelle1[User-Story-Name])/(Tabelle1[Status]='KANBAN-Board'!E$11),ROW()-9)-9,1),"")</f>
        <v/>
      </c>
      <c r="F17" s="95" t="str">
        <f>IFERROR(INDEX(Tabelle1[User-Story-Name],_xlfn.AGGREGATE(15,3,ROW(Tabelle1[User-Story-Name])/(Tabelle1[Status]='KANBAN-Board'!F$11),ROW()-9)-9,1),"")</f>
        <v/>
      </c>
      <c r="G17" s="96" t="str">
        <f>IFERROR(INDEX(Tabelle1[User-Story-Name],_xlfn.AGGREGATE(15,3,ROW(Tabelle1[User-Story-Name])/(Tabelle1[Status]='KANBAN-Board'!G$11),ROW()-9)-9,1),"")</f>
        <v>Name User-Story 8</v>
      </c>
      <c r="H17" s="43" t="str">
        <f>IFERROR(INDEX(Tabelle1[User-Story-Name],_xlfn.AGGREGATE(15,3,ROW(Tabelle1[User-Story-Name])/(Tabelle1[Status]='KANBAN-Board'!H$11),ROW()-9)-9,1),"")</f>
        <v/>
      </c>
    </row>
    <row r="18" spans="2:8" x14ac:dyDescent="0.35">
      <c r="B18" s="41" t="str">
        <f>IFERROR(INDEX(Tabelle1[User-Story-Name],_xlfn.AGGREGATE(15,3,ROW(Tabelle1[User-Story-Name])/(Tabelle1[Status]='KANBAN-Board'!B$11),ROW()-9)-9,1),"")</f>
        <v/>
      </c>
      <c r="C18" s="50" t="str">
        <f>IFERROR(INDEX(Tabelle1[User-Story-Name],_xlfn.AGGREGATE(15,3,ROW(Tabelle1[User-Story-Name])/(Tabelle1[Status]='KANBAN-Board'!C$11),ROW()-9)-9,1),"")</f>
        <v/>
      </c>
      <c r="D18" s="47" t="str">
        <f>IFERROR(INDEX(Tabelle1[User-Story-Name],_xlfn.AGGREGATE(15,3,ROW(Tabelle1[User-Story-Name])/(Tabelle1[Status]='KANBAN-Board'!D$11),ROW()-9)-9,1),"")</f>
        <v/>
      </c>
      <c r="E18" s="45" t="str">
        <f>IFERROR(INDEX(Tabelle1[User-Story-Name],_xlfn.AGGREGATE(15,3,ROW(Tabelle1[User-Story-Name])/(Tabelle1[Status]='KANBAN-Board'!E$11),ROW()-9)-9,1),"")</f>
        <v/>
      </c>
      <c r="F18" s="95" t="str">
        <f>IFERROR(INDEX(Tabelle1[User-Story-Name],_xlfn.AGGREGATE(15,3,ROW(Tabelle1[User-Story-Name])/(Tabelle1[Status]='KANBAN-Board'!F$11),ROW()-9)-9,1),"")</f>
        <v/>
      </c>
      <c r="G18" s="96" t="str">
        <f>IFERROR(INDEX(Tabelle1[User-Story-Name],_xlfn.AGGREGATE(15,3,ROW(Tabelle1[User-Story-Name])/(Tabelle1[Status]='KANBAN-Board'!G$11),ROW()-9)-9,1),"")</f>
        <v>Name User-Story 9</v>
      </c>
      <c r="H18" s="43" t="str">
        <f>IFERROR(INDEX(Tabelle1[User-Story-Name],_xlfn.AGGREGATE(15,3,ROW(Tabelle1[User-Story-Name])/(Tabelle1[Status]='KANBAN-Board'!H$11),ROW()-9)-9,1),"")</f>
        <v/>
      </c>
    </row>
    <row r="19" spans="2:8" x14ac:dyDescent="0.35">
      <c r="B19" s="41" t="str">
        <f>IFERROR(INDEX(Tabelle1[User-Story-Name],_xlfn.AGGREGATE(15,3,ROW(Tabelle1[User-Story-Name])/(Tabelle1[Status]='KANBAN-Board'!B$11),ROW()-9)-9,1),"")</f>
        <v/>
      </c>
      <c r="C19" s="50" t="str">
        <f>IFERROR(INDEX(Tabelle1[User-Story-Name],_xlfn.AGGREGATE(15,3,ROW(Tabelle1[User-Story-Name])/(Tabelle1[Status]='KANBAN-Board'!C$11),ROW()-9)-9,1),"")</f>
        <v/>
      </c>
      <c r="D19" s="47" t="str">
        <f>IFERROR(INDEX(Tabelle1[User-Story-Name],_xlfn.AGGREGATE(15,3,ROW(Tabelle1[User-Story-Name])/(Tabelle1[Status]='KANBAN-Board'!D$11),ROW()-9)-9,1),"")</f>
        <v/>
      </c>
      <c r="E19" s="45" t="str">
        <f>IFERROR(INDEX(Tabelle1[User-Story-Name],_xlfn.AGGREGATE(15,3,ROW(Tabelle1[User-Story-Name])/(Tabelle1[Status]='KANBAN-Board'!E$11),ROW()-9)-9,1),"")</f>
        <v/>
      </c>
      <c r="F19" s="95" t="str">
        <f>IFERROR(INDEX(Tabelle1[User-Story-Name],_xlfn.AGGREGATE(15,3,ROW(Tabelle1[User-Story-Name])/(Tabelle1[Status]='KANBAN-Board'!F$11),ROW()-9)-9,1),"")</f>
        <v/>
      </c>
      <c r="G19" s="96" t="str">
        <f>IFERROR(INDEX(Tabelle1[User-Story-Name],_xlfn.AGGREGATE(15,3,ROW(Tabelle1[User-Story-Name])/(Tabelle1[Status]='KANBAN-Board'!G$11),ROW()-9)-9,1),"")</f>
        <v>Name User-Story 10</v>
      </c>
      <c r="H19" s="43" t="str">
        <f>IFERROR(INDEX(Tabelle1[User-Story-Name],_xlfn.AGGREGATE(15,3,ROW(Tabelle1[User-Story-Name])/(Tabelle1[Status]='KANBAN-Board'!H$11),ROW()-9)-9,1),"")</f>
        <v/>
      </c>
    </row>
    <row r="20" spans="2:8" x14ac:dyDescent="0.35">
      <c r="B20" s="41" t="str">
        <f>IFERROR(INDEX(Tabelle1[User-Story-Name],_xlfn.AGGREGATE(15,3,ROW(Tabelle1[User-Story-Name])/(Tabelle1[Status]='KANBAN-Board'!B$11),ROW()-9)-9,1),"")</f>
        <v/>
      </c>
      <c r="C20" s="50" t="str">
        <f>IFERROR(INDEX(Tabelle1[User-Story-Name],_xlfn.AGGREGATE(15,3,ROW(Tabelle1[User-Story-Name])/(Tabelle1[Status]='KANBAN-Board'!C$11),ROW()-9)-9,1),"")</f>
        <v/>
      </c>
      <c r="D20" s="47" t="str">
        <f>IFERROR(INDEX(Tabelle1[User-Story-Name],_xlfn.AGGREGATE(15,3,ROW(Tabelle1[User-Story-Name])/(Tabelle1[Status]='KANBAN-Board'!D$11),ROW()-9)-9,1),"")</f>
        <v/>
      </c>
      <c r="E20" s="45" t="str">
        <f>IFERROR(INDEX(Tabelle1[User-Story-Name],_xlfn.AGGREGATE(15,3,ROW(Tabelle1[User-Story-Name])/(Tabelle1[Status]='KANBAN-Board'!E$11),ROW()-9)-9,1),"")</f>
        <v/>
      </c>
      <c r="F20" s="95" t="str">
        <f>IFERROR(INDEX(Tabelle1[User-Story-Name],_xlfn.AGGREGATE(15,3,ROW(Tabelle1[User-Story-Name])/(Tabelle1[Status]='KANBAN-Board'!F$11),ROW()-9)-9,1),"")</f>
        <v/>
      </c>
      <c r="G20" s="96" t="str">
        <f>IFERROR(INDEX(Tabelle1[User-Story-Name],_xlfn.AGGREGATE(15,3,ROW(Tabelle1[User-Story-Name])/(Tabelle1[Status]='KANBAN-Board'!G$11),ROW()-9)-9,1),"")</f>
        <v>Name User-Story 11</v>
      </c>
      <c r="H20" s="43" t="str">
        <f>IFERROR(INDEX(Tabelle1[User-Story-Name],_xlfn.AGGREGATE(15,3,ROW(Tabelle1[User-Story-Name])/(Tabelle1[Status]='KANBAN-Board'!H$11),ROW()-9)-9,1),"")</f>
        <v/>
      </c>
    </row>
    <row r="21" spans="2:8" x14ac:dyDescent="0.35">
      <c r="B21" s="41" t="str">
        <f>IFERROR(INDEX(Tabelle1[User-Story-Name],_xlfn.AGGREGATE(15,3,ROW(Tabelle1[User-Story-Name])/(Tabelle1[Status]='KANBAN-Board'!B$11),ROW()-9)-9,1),"")</f>
        <v/>
      </c>
      <c r="C21" s="50" t="str">
        <f>IFERROR(INDEX(Tabelle1[User-Story-Name],_xlfn.AGGREGATE(15,3,ROW(Tabelle1[User-Story-Name])/(Tabelle1[Status]='KANBAN-Board'!C$11),ROW()-9)-9,1),"")</f>
        <v/>
      </c>
      <c r="D21" s="47" t="str">
        <f>IFERROR(INDEX(Tabelle1[User-Story-Name],_xlfn.AGGREGATE(15,3,ROW(Tabelle1[User-Story-Name])/(Tabelle1[Status]='KANBAN-Board'!D$11),ROW()-9)-9,1),"")</f>
        <v/>
      </c>
      <c r="E21" s="45" t="str">
        <f>IFERROR(INDEX(Tabelle1[User-Story-Name],_xlfn.AGGREGATE(15,3,ROW(Tabelle1[User-Story-Name])/(Tabelle1[Status]='KANBAN-Board'!E$11),ROW()-9)-9,1),"")</f>
        <v/>
      </c>
      <c r="F21" s="95" t="str">
        <f>IFERROR(INDEX(Tabelle1[User-Story-Name],_xlfn.AGGREGATE(15,3,ROW(Tabelle1[User-Story-Name])/(Tabelle1[Status]='KANBAN-Board'!F$11),ROW()-9)-9,1),"")</f>
        <v/>
      </c>
      <c r="G21" s="96" t="str">
        <f>IFERROR(INDEX(Tabelle1[User-Story-Name],_xlfn.AGGREGATE(15,3,ROW(Tabelle1[User-Story-Name])/(Tabelle1[Status]='KANBAN-Board'!G$11),ROW()-9)-9,1),"")</f>
        <v>Name User-Story 12</v>
      </c>
      <c r="H21" s="43" t="str">
        <f>IFERROR(INDEX(Tabelle1[User-Story-Name],_xlfn.AGGREGATE(15,3,ROW(Tabelle1[User-Story-Name])/(Tabelle1[Status]='KANBAN-Board'!H$11),ROW()-9)-9,1),"")</f>
        <v/>
      </c>
    </row>
    <row r="22" spans="2:8" x14ac:dyDescent="0.35">
      <c r="B22" s="41" t="str">
        <f>IFERROR(INDEX(Tabelle1[User-Story-Name],_xlfn.AGGREGATE(15,3,ROW(Tabelle1[User-Story-Name])/(Tabelle1[Status]='KANBAN-Board'!B$11),ROW()-9)-9,1),"")</f>
        <v/>
      </c>
      <c r="C22" s="50" t="str">
        <f>IFERROR(INDEX(Tabelle1[User-Story-Name],_xlfn.AGGREGATE(15,3,ROW(Tabelle1[User-Story-Name])/(Tabelle1[Status]='KANBAN-Board'!C$11),ROW()-9)-9,1),"")</f>
        <v/>
      </c>
      <c r="D22" s="47" t="str">
        <f>IFERROR(INDEX(Tabelle1[User-Story-Name],_xlfn.AGGREGATE(15,3,ROW(Tabelle1[User-Story-Name])/(Tabelle1[Status]='KANBAN-Board'!D$11),ROW()-9)-9,1),"")</f>
        <v/>
      </c>
      <c r="E22" s="45" t="str">
        <f>IFERROR(INDEX(Tabelle1[User-Story-Name],_xlfn.AGGREGATE(15,3,ROW(Tabelle1[User-Story-Name])/(Tabelle1[Status]='KANBAN-Board'!E$11),ROW()-9)-9,1),"")</f>
        <v/>
      </c>
      <c r="F22" s="95" t="str">
        <f>IFERROR(INDEX(Tabelle1[User-Story-Name],_xlfn.AGGREGATE(15,3,ROW(Tabelle1[User-Story-Name])/(Tabelle1[Status]='KANBAN-Board'!F$11),ROW()-9)-9,1),"")</f>
        <v/>
      </c>
      <c r="G22" s="96" t="str">
        <f>IFERROR(INDEX(Tabelle1[User-Story-Name],_xlfn.AGGREGATE(15,3,ROW(Tabelle1[User-Story-Name])/(Tabelle1[Status]='KANBAN-Board'!G$11),ROW()-9)-9,1),"")</f>
        <v/>
      </c>
      <c r="H22" s="43" t="str">
        <f>IFERROR(INDEX(Tabelle1[User-Story-Name],_xlfn.AGGREGATE(15,3,ROW(Tabelle1[User-Story-Name])/(Tabelle1[Status]='KANBAN-Board'!H$11),ROW()-9)-9,1),"")</f>
        <v/>
      </c>
    </row>
    <row r="23" spans="2:8" x14ac:dyDescent="0.35">
      <c r="B23" s="41" t="str">
        <f>IFERROR(INDEX(Tabelle1[User-Story-Name],_xlfn.AGGREGATE(15,3,ROW(Tabelle1[User-Story-Name])/(Tabelle1[Status]='KANBAN-Board'!B$11),ROW()-9)-9,1),"")</f>
        <v/>
      </c>
      <c r="C23" s="50" t="str">
        <f>IFERROR(INDEX(Tabelle1[User-Story-Name],_xlfn.AGGREGATE(15,3,ROW(Tabelle1[User-Story-Name])/(Tabelle1[Status]='KANBAN-Board'!C$11),ROW()-9)-9,1),"")</f>
        <v/>
      </c>
      <c r="D23" s="47" t="str">
        <f>IFERROR(INDEX(Tabelle1[User-Story-Name],_xlfn.AGGREGATE(15,3,ROW(Tabelle1[User-Story-Name])/(Tabelle1[Status]='KANBAN-Board'!D$11),ROW()-9)-9,1),"")</f>
        <v/>
      </c>
      <c r="E23" s="45" t="str">
        <f>IFERROR(INDEX(Tabelle1[User-Story-Name],_xlfn.AGGREGATE(15,3,ROW(Tabelle1[User-Story-Name])/(Tabelle1[Status]='KANBAN-Board'!E$11),ROW()-9)-9,1),"")</f>
        <v/>
      </c>
      <c r="F23" s="95" t="str">
        <f>IFERROR(INDEX(Tabelle1[User-Story-Name],_xlfn.AGGREGATE(15,3,ROW(Tabelle1[User-Story-Name])/(Tabelle1[Status]='KANBAN-Board'!F$11),ROW()-9)-9,1),"")</f>
        <v/>
      </c>
      <c r="G23" s="96" t="str">
        <f>IFERROR(INDEX(Tabelle1[User-Story-Name],_xlfn.AGGREGATE(15,3,ROW(Tabelle1[User-Story-Name])/(Tabelle1[Status]='KANBAN-Board'!G$11),ROW()-9)-9,1),"")</f>
        <v/>
      </c>
      <c r="H23" s="43" t="str">
        <f>IFERROR(INDEX(Tabelle1[User-Story-Name],_xlfn.AGGREGATE(15,3,ROW(Tabelle1[User-Story-Name])/(Tabelle1[Status]='KANBAN-Board'!H$11),ROW()-9)-9,1),"")</f>
        <v/>
      </c>
    </row>
    <row r="24" spans="2:8" x14ac:dyDescent="0.35">
      <c r="B24" s="41" t="str">
        <f>IFERROR(INDEX(Tabelle1[User-Story-Name],_xlfn.AGGREGATE(15,3,ROW(Tabelle1[User-Story-Name])/(Tabelle1[Status]='KANBAN-Board'!B$11),ROW()-9)-9,1),"")</f>
        <v/>
      </c>
      <c r="C24" s="50" t="str">
        <f>IFERROR(INDEX(Tabelle1[User-Story-Name],_xlfn.AGGREGATE(15,3,ROW(Tabelle1[User-Story-Name])/(Tabelle1[Status]='KANBAN-Board'!C$11),ROW()-9)-9,1),"")</f>
        <v/>
      </c>
      <c r="D24" s="47" t="str">
        <f>IFERROR(INDEX(Tabelle1[User-Story-Name],_xlfn.AGGREGATE(15,3,ROW(Tabelle1[User-Story-Name])/(Tabelle1[Status]='KANBAN-Board'!D$11),ROW()-9)-9,1),"")</f>
        <v/>
      </c>
      <c r="E24" s="45" t="str">
        <f>IFERROR(INDEX(Tabelle1[User-Story-Name],_xlfn.AGGREGATE(15,3,ROW(Tabelle1[User-Story-Name])/(Tabelle1[Status]='KANBAN-Board'!E$11),ROW()-9)-9,1),"")</f>
        <v/>
      </c>
      <c r="F24" s="95" t="str">
        <f>IFERROR(INDEX(Tabelle1[User-Story-Name],_xlfn.AGGREGATE(15,3,ROW(Tabelle1[User-Story-Name])/(Tabelle1[Status]='KANBAN-Board'!F$11),ROW()-9)-9,1),"")</f>
        <v/>
      </c>
      <c r="G24" s="96" t="str">
        <f>IFERROR(INDEX(Tabelle1[User-Story-Name],_xlfn.AGGREGATE(15,3,ROW(Tabelle1[User-Story-Name])/(Tabelle1[Status]='KANBAN-Board'!G$11),ROW()-9)-9,1),"")</f>
        <v/>
      </c>
      <c r="H24" s="43" t="str">
        <f>IFERROR(INDEX(Tabelle1[User-Story-Name],_xlfn.AGGREGATE(15,3,ROW(Tabelle1[User-Story-Name])/(Tabelle1[Status]='KANBAN-Board'!H$11),ROW()-9)-9,1),"")</f>
        <v/>
      </c>
    </row>
    <row r="25" spans="2:8" x14ac:dyDescent="0.35">
      <c r="B25" s="41" t="str">
        <f>IFERROR(INDEX(Tabelle1[User-Story-Name],_xlfn.AGGREGATE(15,3,ROW(Tabelle1[User-Story-Name])/(Tabelle1[Status]='KANBAN-Board'!B$11),ROW()-9)-9,1),"")</f>
        <v/>
      </c>
      <c r="C25" s="50" t="str">
        <f>IFERROR(INDEX(Tabelle1[User-Story-Name],_xlfn.AGGREGATE(15,3,ROW(Tabelle1[User-Story-Name])/(Tabelle1[Status]='KANBAN-Board'!C$11),ROW()-9)-9,1),"")</f>
        <v/>
      </c>
      <c r="D25" s="47" t="str">
        <f>IFERROR(INDEX(Tabelle1[User-Story-Name],_xlfn.AGGREGATE(15,3,ROW(Tabelle1[User-Story-Name])/(Tabelle1[Status]='KANBAN-Board'!D$11),ROW()-9)-9,1),"")</f>
        <v/>
      </c>
      <c r="E25" s="45" t="str">
        <f>IFERROR(INDEX(Tabelle1[User-Story-Name],_xlfn.AGGREGATE(15,3,ROW(Tabelle1[User-Story-Name])/(Tabelle1[Status]='KANBAN-Board'!E$11),ROW()-9)-9,1),"")</f>
        <v/>
      </c>
      <c r="F25" s="95" t="str">
        <f>IFERROR(INDEX(Tabelle1[User-Story-Name],_xlfn.AGGREGATE(15,3,ROW(Tabelle1[User-Story-Name])/(Tabelle1[Status]='KANBAN-Board'!F$11),ROW()-9)-9,1),"")</f>
        <v/>
      </c>
      <c r="G25" s="96" t="str">
        <f>IFERROR(INDEX(Tabelle1[User-Story-Name],_xlfn.AGGREGATE(15,3,ROW(Tabelle1[User-Story-Name])/(Tabelle1[Status]='KANBAN-Board'!G$11),ROW()-9)-9,1),"")</f>
        <v/>
      </c>
      <c r="H25" s="43" t="str">
        <f>IFERROR(INDEX(Tabelle1[User-Story-Name],_xlfn.AGGREGATE(15,3,ROW(Tabelle1[User-Story-Name])/(Tabelle1[Status]='KANBAN-Board'!H$11),ROW()-9)-9,1),"")</f>
        <v/>
      </c>
    </row>
    <row r="26" spans="2:8" x14ac:dyDescent="0.35">
      <c r="B26" s="41" t="str">
        <f>IFERROR(INDEX(Tabelle1[User-Story-Name],_xlfn.AGGREGATE(15,3,ROW(Tabelle1[User-Story-Name])/(Tabelle1[Status]='KANBAN-Board'!B$11),ROW()-9)-9,1),"")</f>
        <v/>
      </c>
      <c r="C26" s="50" t="str">
        <f>IFERROR(INDEX(Tabelle1[User-Story-Name],_xlfn.AGGREGATE(15,3,ROW(Tabelle1[User-Story-Name])/(Tabelle1[Status]='KANBAN-Board'!C$11),ROW()-9)-9,1),"")</f>
        <v/>
      </c>
      <c r="D26" s="47" t="str">
        <f>IFERROR(INDEX(Tabelle1[User-Story-Name],_xlfn.AGGREGATE(15,3,ROW(Tabelle1[User-Story-Name])/(Tabelle1[Status]='KANBAN-Board'!D$11),ROW()-9)-9,1),"")</f>
        <v/>
      </c>
      <c r="E26" s="45" t="str">
        <f>IFERROR(INDEX(Tabelle1[User-Story-Name],_xlfn.AGGREGATE(15,3,ROW(Tabelle1[User-Story-Name])/(Tabelle1[Status]='KANBAN-Board'!E$11),ROW()-9)-9,1),"")</f>
        <v/>
      </c>
      <c r="F26" s="95" t="str">
        <f>IFERROR(INDEX(Tabelle1[User-Story-Name],_xlfn.AGGREGATE(15,3,ROW(Tabelle1[User-Story-Name])/(Tabelle1[Status]='KANBAN-Board'!F$11),ROW()-9)-9,1),"")</f>
        <v/>
      </c>
      <c r="G26" s="96" t="str">
        <f>IFERROR(INDEX(Tabelle1[User-Story-Name],_xlfn.AGGREGATE(15,3,ROW(Tabelle1[User-Story-Name])/(Tabelle1[Status]='KANBAN-Board'!G$11),ROW()-9)-9,1),"")</f>
        <v/>
      </c>
      <c r="H26" s="43" t="str">
        <f>IFERROR(INDEX(Tabelle1[User-Story-Name],_xlfn.AGGREGATE(15,3,ROW(Tabelle1[User-Story-Name])/(Tabelle1[Status]='KANBAN-Board'!H$11),ROW()-9)-9,1),"")</f>
        <v/>
      </c>
    </row>
    <row r="27" spans="2:8" x14ac:dyDescent="0.35">
      <c r="B27" s="41" t="str">
        <f>IFERROR(INDEX(Tabelle1[User-Story-Name],_xlfn.AGGREGATE(15,3,ROW(Tabelle1[User-Story-Name])/(Tabelle1[Status]='KANBAN-Board'!B$11),ROW()-9)-9,1),"")</f>
        <v/>
      </c>
      <c r="C27" s="50" t="str">
        <f>IFERROR(INDEX(Tabelle1[User-Story-Name],_xlfn.AGGREGATE(15,3,ROW(Tabelle1[User-Story-Name])/(Tabelle1[Status]='KANBAN-Board'!C$11),ROW()-9)-9,1),"")</f>
        <v/>
      </c>
      <c r="D27" s="47" t="str">
        <f>IFERROR(INDEX(Tabelle1[User-Story-Name],_xlfn.AGGREGATE(15,3,ROW(Tabelle1[User-Story-Name])/(Tabelle1[Status]='KANBAN-Board'!D$11),ROW()-9)-9,1),"")</f>
        <v/>
      </c>
      <c r="E27" s="45" t="str">
        <f>IFERROR(INDEX(Tabelle1[User-Story-Name],_xlfn.AGGREGATE(15,3,ROW(Tabelle1[User-Story-Name])/(Tabelle1[Status]='KANBAN-Board'!E$11),ROW()-9)-9,1),"")</f>
        <v/>
      </c>
      <c r="F27" s="95" t="str">
        <f>IFERROR(INDEX(Tabelle1[User-Story-Name],_xlfn.AGGREGATE(15,3,ROW(Tabelle1[User-Story-Name])/(Tabelle1[Status]='KANBAN-Board'!F$11),ROW()-9)-9,1),"")</f>
        <v/>
      </c>
      <c r="G27" s="96" t="str">
        <f>IFERROR(INDEX(Tabelle1[User-Story-Name],_xlfn.AGGREGATE(15,3,ROW(Tabelle1[User-Story-Name])/(Tabelle1[Status]='KANBAN-Board'!G$11),ROW()-9)-9,1),"")</f>
        <v/>
      </c>
      <c r="H27" s="43" t="str">
        <f>IFERROR(INDEX(Tabelle1[User-Story-Name],_xlfn.AGGREGATE(15,3,ROW(Tabelle1[User-Story-Name])/(Tabelle1[Status]='KANBAN-Board'!H$11),ROW()-9)-9,1),"")</f>
        <v/>
      </c>
    </row>
    <row r="28" spans="2:8" x14ac:dyDescent="0.35">
      <c r="B28" s="41" t="str">
        <f>IFERROR(INDEX(Tabelle1[User-Story-Name],_xlfn.AGGREGATE(15,3,ROW(Tabelle1[User-Story-Name])/(Tabelle1[Status]='KANBAN-Board'!B$11),ROW()-9)-9,1),"")</f>
        <v/>
      </c>
      <c r="C28" s="50" t="str">
        <f>IFERROR(INDEX(Tabelle1[User-Story-Name],_xlfn.AGGREGATE(15,3,ROW(Tabelle1[User-Story-Name])/(Tabelle1[Status]='KANBAN-Board'!C$11),ROW()-9)-9,1),"")</f>
        <v/>
      </c>
      <c r="D28" s="47" t="str">
        <f>IFERROR(INDEX(Tabelle1[User-Story-Name],_xlfn.AGGREGATE(15,3,ROW(Tabelle1[User-Story-Name])/(Tabelle1[Status]='KANBAN-Board'!D$11),ROW()-9)-9,1),"")</f>
        <v/>
      </c>
      <c r="E28" s="45" t="str">
        <f>IFERROR(INDEX(Tabelle1[User-Story-Name],_xlfn.AGGREGATE(15,3,ROW(Tabelle1[User-Story-Name])/(Tabelle1[Status]='KANBAN-Board'!E$11),ROW()-9)-9,1),"")</f>
        <v/>
      </c>
      <c r="F28" s="95" t="str">
        <f>IFERROR(INDEX(Tabelle1[User-Story-Name],_xlfn.AGGREGATE(15,3,ROW(Tabelle1[User-Story-Name])/(Tabelle1[Status]='KANBAN-Board'!F$11),ROW()-9)-9,1),"")</f>
        <v/>
      </c>
      <c r="G28" s="96" t="str">
        <f>IFERROR(INDEX(Tabelle1[User-Story-Name],_xlfn.AGGREGATE(15,3,ROW(Tabelle1[User-Story-Name])/(Tabelle1[Status]='KANBAN-Board'!G$11),ROW()-9)-9,1),"")</f>
        <v/>
      </c>
      <c r="H28" s="43" t="str">
        <f>IFERROR(INDEX(Tabelle1[User-Story-Name],_xlfn.AGGREGATE(15,3,ROW(Tabelle1[User-Story-Name])/(Tabelle1[Status]='KANBAN-Board'!H$11),ROW()-9)-9,1),"")</f>
        <v/>
      </c>
    </row>
    <row r="29" spans="2:8" x14ac:dyDescent="0.35">
      <c r="B29" s="41" t="str">
        <f>IFERROR(INDEX(Tabelle1[User-Story-Name],_xlfn.AGGREGATE(15,3,ROW(Tabelle1[User-Story-Name])/(Tabelle1[Status]='KANBAN-Board'!B$11),ROW()-9)-9,1),"")</f>
        <v/>
      </c>
      <c r="C29" s="50" t="str">
        <f>IFERROR(INDEX(Tabelle1[User-Story-Name],_xlfn.AGGREGATE(15,3,ROW(Tabelle1[User-Story-Name])/(Tabelle1[Status]='KANBAN-Board'!C$11),ROW()-9)-9,1),"")</f>
        <v/>
      </c>
      <c r="D29" s="47" t="str">
        <f>IFERROR(INDEX(Tabelle1[User-Story-Name],_xlfn.AGGREGATE(15,3,ROW(Tabelle1[User-Story-Name])/(Tabelle1[Status]='KANBAN-Board'!D$11),ROW()-9)-9,1),"")</f>
        <v/>
      </c>
      <c r="E29" s="45" t="str">
        <f>IFERROR(INDEX(Tabelle1[User-Story-Name],_xlfn.AGGREGATE(15,3,ROW(Tabelle1[User-Story-Name])/(Tabelle1[Status]='KANBAN-Board'!E$11),ROW()-9)-9,1),"")</f>
        <v/>
      </c>
      <c r="F29" s="95" t="str">
        <f>IFERROR(INDEX(Tabelle1[User-Story-Name],_xlfn.AGGREGATE(15,3,ROW(Tabelle1[User-Story-Name])/(Tabelle1[Status]='KANBAN-Board'!F$11),ROW()-9)-9,1),"")</f>
        <v/>
      </c>
      <c r="G29" s="96" t="str">
        <f>IFERROR(INDEX(Tabelle1[User-Story-Name],_xlfn.AGGREGATE(15,3,ROW(Tabelle1[User-Story-Name])/(Tabelle1[Status]='KANBAN-Board'!G$11),ROW()-9)-9,1),"")</f>
        <v/>
      </c>
      <c r="H29" s="43" t="str">
        <f>IFERROR(INDEX(Tabelle1[User-Story-Name],_xlfn.AGGREGATE(15,3,ROW(Tabelle1[User-Story-Name])/(Tabelle1[Status]='KANBAN-Board'!H$11),ROW()-9)-9,1),"")</f>
        <v/>
      </c>
    </row>
    <row r="30" spans="2:8" x14ac:dyDescent="0.35">
      <c r="B30" s="41" t="str">
        <f>IFERROR(INDEX(Tabelle1[User-Story-Name],_xlfn.AGGREGATE(15,3,ROW(Tabelle1[User-Story-Name])/(Tabelle1[Status]='KANBAN-Board'!B$11),ROW()-9)-9,1),"")</f>
        <v/>
      </c>
      <c r="C30" s="50" t="str">
        <f>IFERROR(INDEX(Tabelle1[User-Story-Name],_xlfn.AGGREGATE(15,3,ROW(Tabelle1[User-Story-Name])/(Tabelle1[Status]='KANBAN-Board'!C$11),ROW()-9)-9,1),"")</f>
        <v/>
      </c>
      <c r="D30" s="47" t="str">
        <f>IFERROR(INDEX(Tabelle1[User-Story-Name],_xlfn.AGGREGATE(15,3,ROW(Tabelle1[User-Story-Name])/(Tabelle1[Status]='KANBAN-Board'!D$11),ROW()-9)-9,1),"")</f>
        <v/>
      </c>
      <c r="E30" s="45" t="str">
        <f>IFERROR(INDEX(Tabelle1[User-Story-Name],_xlfn.AGGREGATE(15,3,ROW(Tabelle1[User-Story-Name])/(Tabelle1[Status]='KANBAN-Board'!E$11),ROW()-9)-9,1),"")</f>
        <v/>
      </c>
      <c r="F30" s="95" t="str">
        <f>IFERROR(INDEX(Tabelle1[User-Story-Name],_xlfn.AGGREGATE(15,3,ROW(Tabelle1[User-Story-Name])/(Tabelle1[Status]='KANBAN-Board'!F$11),ROW()-9)-9,1),"")</f>
        <v/>
      </c>
      <c r="G30" s="96" t="str">
        <f>IFERROR(INDEX(Tabelle1[User-Story-Name],_xlfn.AGGREGATE(15,3,ROW(Tabelle1[User-Story-Name])/(Tabelle1[Status]='KANBAN-Board'!G$11),ROW()-9)-9,1),"")</f>
        <v/>
      </c>
      <c r="H30" s="43" t="str">
        <f>IFERROR(INDEX(Tabelle1[User-Story-Name],_xlfn.AGGREGATE(15,3,ROW(Tabelle1[User-Story-Name])/(Tabelle1[Status]='KANBAN-Board'!H$11),ROW()-9)-9,1),"")</f>
        <v/>
      </c>
    </row>
    <row r="31" spans="2:8" x14ac:dyDescent="0.35">
      <c r="B31" s="41" t="str">
        <f>IFERROR(INDEX(Tabelle1[User-Story-Name],_xlfn.AGGREGATE(15,3,ROW(Tabelle1[User-Story-Name])/(Tabelle1[Status]='KANBAN-Board'!B$11),ROW()-9)-9,1),"")</f>
        <v/>
      </c>
      <c r="C31" s="50" t="str">
        <f>IFERROR(INDEX(Tabelle1[User-Story-Name],_xlfn.AGGREGATE(15,3,ROW(Tabelle1[User-Story-Name])/(Tabelle1[Status]='KANBAN-Board'!C$11),ROW()-9)-9,1),"")</f>
        <v/>
      </c>
      <c r="D31" s="47" t="str">
        <f>IFERROR(INDEX(Tabelle1[User-Story-Name],_xlfn.AGGREGATE(15,3,ROW(Tabelle1[User-Story-Name])/(Tabelle1[Status]='KANBAN-Board'!D$11),ROW()-9)-9,1),"")</f>
        <v/>
      </c>
      <c r="E31" s="45" t="str">
        <f>IFERROR(INDEX(Tabelle1[User-Story-Name],_xlfn.AGGREGATE(15,3,ROW(Tabelle1[User-Story-Name])/(Tabelle1[Status]='KANBAN-Board'!E$11),ROW()-9)-9,1),"")</f>
        <v/>
      </c>
      <c r="F31" s="95" t="str">
        <f>IFERROR(INDEX(Tabelle1[User-Story-Name],_xlfn.AGGREGATE(15,3,ROW(Tabelle1[User-Story-Name])/(Tabelle1[Status]='KANBAN-Board'!F$11),ROW()-9)-9,1),"")</f>
        <v/>
      </c>
      <c r="G31" s="96" t="str">
        <f>IFERROR(INDEX(Tabelle1[User-Story-Name],_xlfn.AGGREGATE(15,3,ROW(Tabelle1[User-Story-Name])/(Tabelle1[Status]='KANBAN-Board'!G$11),ROW()-9)-9,1),"")</f>
        <v/>
      </c>
      <c r="H31" s="43" t="str">
        <f>IFERROR(INDEX(Tabelle1[User-Story-Name],_xlfn.AGGREGATE(15,3,ROW(Tabelle1[User-Story-Name])/(Tabelle1[Status]='KANBAN-Board'!H$11),ROW()-9)-9,1),"")</f>
        <v/>
      </c>
    </row>
    <row r="32" spans="2:8" x14ac:dyDescent="0.35">
      <c r="B32" s="41" t="str">
        <f>IFERROR(INDEX(Tabelle1[User-Story-Name],_xlfn.AGGREGATE(15,3,ROW(Tabelle1[User-Story-Name])/(Tabelle1[Status]='KANBAN-Board'!B$11),ROW()-9)-9,1),"")</f>
        <v/>
      </c>
      <c r="C32" s="50" t="str">
        <f>IFERROR(INDEX(Tabelle1[User-Story-Name],_xlfn.AGGREGATE(15,3,ROW(Tabelle1[User-Story-Name])/(Tabelle1[Status]='KANBAN-Board'!C$11),ROW()-9)-9,1),"")</f>
        <v/>
      </c>
      <c r="D32" s="47" t="str">
        <f>IFERROR(INDEX(Tabelle1[User-Story-Name],_xlfn.AGGREGATE(15,3,ROW(Tabelle1[User-Story-Name])/(Tabelle1[Status]='KANBAN-Board'!D$11),ROW()-9)-9,1),"")</f>
        <v/>
      </c>
      <c r="E32" s="45" t="str">
        <f>IFERROR(INDEX(Tabelle1[User-Story-Name],_xlfn.AGGREGATE(15,3,ROW(Tabelle1[User-Story-Name])/(Tabelle1[Status]='KANBAN-Board'!E$11),ROW()-9)-9,1),"")</f>
        <v/>
      </c>
      <c r="F32" s="95" t="str">
        <f>IFERROR(INDEX(Tabelle1[User-Story-Name],_xlfn.AGGREGATE(15,3,ROW(Tabelle1[User-Story-Name])/(Tabelle1[Status]='KANBAN-Board'!F$11),ROW()-9)-9,1),"")</f>
        <v/>
      </c>
      <c r="G32" s="96" t="str">
        <f>IFERROR(INDEX(Tabelle1[User-Story-Name],_xlfn.AGGREGATE(15,3,ROW(Tabelle1[User-Story-Name])/(Tabelle1[Status]='KANBAN-Board'!G$11),ROW()-9)-9,1),"")</f>
        <v/>
      </c>
      <c r="H32" s="43" t="str">
        <f>IFERROR(INDEX(Tabelle1[User-Story-Name],_xlfn.AGGREGATE(15,3,ROW(Tabelle1[User-Story-Name])/(Tabelle1[Status]='KANBAN-Board'!H$11),ROW()-9)-9,1),"")</f>
        <v/>
      </c>
    </row>
    <row r="33" spans="2:8" x14ac:dyDescent="0.35">
      <c r="B33" s="41" t="str">
        <f>IFERROR(INDEX(Tabelle1[User-Story-Name],_xlfn.AGGREGATE(15,3,ROW(Tabelle1[User-Story-Name])/(Tabelle1[Status]='KANBAN-Board'!B$11),ROW()-9)-9,1),"")</f>
        <v/>
      </c>
      <c r="C33" s="50" t="str">
        <f>IFERROR(INDEX(Tabelle1[User-Story-Name],_xlfn.AGGREGATE(15,3,ROW(Tabelle1[User-Story-Name])/(Tabelle1[Status]='KANBAN-Board'!C$11),ROW()-9)-9,1),"")</f>
        <v/>
      </c>
      <c r="D33" s="47" t="str">
        <f>IFERROR(INDEX(Tabelle1[User-Story-Name],_xlfn.AGGREGATE(15,3,ROW(Tabelle1[User-Story-Name])/(Tabelle1[Status]='KANBAN-Board'!D$11),ROW()-9)-9,1),"")</f>
        <v/>
      </c>
      <c r="E33" s="45" t="str">
        <f>IFERROR(INDEX(Tabelle1[User-Story-Name],_xlfn.AGGREGATE(15,3,ROW(Tabelle1[User-Story-Name])/(Tabelle1[Status]='KANBAN-Board'!E$11),ROW()-9)-9,1),"")</f>
        <v/>
      </c>
      <c r="F33" s="95" t="str">
        <f>IFERROR(INDEX(Tabelle1[User-Story-Name],_xlfn.AGGREGATE(15,3,ROW(Tabelle1[User-Story-Name])/(Tabelle1[Status]='KANBAN-Board'!F$11),ROW()-9)-9,1),"")</f>
        <v/>
      </c>
      <c r="G33" s="96" t="str">
        <f>IFERROR(INDEX(Tabelle1[User-Story-Name],_xlfn.AGGREGATE(15,3,ROW(Tabelle1[User-Story-Name])/(Tabelle1[Status]='KANBAN-Board'!G$11),ROW()-9)-9,1),"")</f>
        <v/>
      </c>
      <c r="H33" s="43" t="str">
        <f>IFERROR(INDEX(Tabelle1[User-Story-Name],_xlfn.AGGREGATE(15,3,ROW(Tabelle1[User-Story-Name])/(Tabelle1[Status]='KANBAN-Board'!H$11),ROW()-9)-9,1),"")</f>
        <v/>
      </c>
    </row>
    <row r="34" spans="2:8" x14ac:dyDescent="0.35">
      <c r="B34" s="41" t="str">
        <f>IFERROR(INDEX(Tabelle1[User-Story-Name],_xlfn.AGGREGATE(15,3,ROW(Tabelle1[User-Story-Name])/(Tabelle1[Status]='KANBAN-Board'!B$11),ROW()-9)-9,1),"")</f>
        <v/>
      </c>
      <c r="C34" s="50" t="str">
        <f>IFERROR(INDEX(Tabelle1[User-Story-Name],_xlfn.AGGREGATE(15,3,ROW(Tabelle1[User-Story-Name])/(Tabelle1[Status]='KANBAN-Board'!C$11),ROW()-9)-9,1),"")</f>
        <v/>
      </c>
      <c r="D34" s="47" t="str">
        <f>IFERROR(INDEX(Tabelle1[User-Story-Name],_xlfn.AGGREGATE(15,3,ROW(Tabelle1[User-Story-Name])/(Tabelle1[Status]='KANBAN-Board'!D$11),ROW()-9)-9,1),"")</f>
        <v/>
      </c>
      <c r="E34" s="45" t="str">
        <f>IFERROR(INDEX(Tabelle1[User-Story-Name],_xlfn.AGGREGATE(15,3,ROW(Tabelle1[User-Story-Name])/(Tabelle1[Status]='KANBAN-Board'!E$11),ROW()-9)-9,1),"")</f>
        <v/>
      </c>
      <c r="F34" s="95" t="str">
        <f>IFERROR(INDEX(Tabelle1[User-Story-Name],_xlfn.AGGREGATE(15,3,ROW(Tabelle1[User-Story-Name])/(Tabelle1[Status]='KANBAN-Board'!F$11),ROW()-9)-9,1),"")</f>
        <v/>
      </c>
      <c r="G34" s="96" t="str">
        <f>IFERROR(INDEX(Tabelle1[User-Story-Name],_xlfn.AGGREGATE(15,3,ROW(Tabelle1[User-Story-Name])/(Tabelle1[Status]='KANBAN-Board'!G$11),ROW()-9)-9,1),"")</f>
        <v/>
      </c>
      <c r="H34" s="43" t="str">
        <f>IFERROR(INDEX(Tabelle1[User-Story-Name],_xlfn.AGGREGATE(15,3,ROW(Tabelle1[User-Story-Name])/(Tabelle1[Status]='KANBAN-Board'!H$11),ROW()-9)-9,1),"")</f>
        <v/>
      </c>
    </row>
    <row r="35" spans="2:8" x14ac:dyDescent="0.35">
      <c r="B35" s="41" t="str">
        <f>IFERROR(INDEX(Tabelle1[User-Story-Name],_xlfn.AGGREGATE(15,3,ROW(Tabelle1[User-Story-Name])/(Tabelle1[Status]='KANBAN-Board'!B$11),ROW()-9)-9,1),"")</f>
        <v/>
      </c>
      <c r="C35" s="50" t="str">
        <f>IFERROR(INDEX(Tabelle1[User-Story-Name],_xlfn.AGGREGATE(15,3,ROW(Tabelle1[User-Story-Name])/(Tabelle1[Status]='KANBAN-Board'!C$11),ROW()-9)-9,1),"")</f>
        <v/>
      </c>
      <c r="D35" s="47" t="str">
        <f>IFERROR(INDEX(Tabelle1[User-Story-Name],_xlfn.AGGREGATE(15,3,ROW(Tabelle1[User-Story-Name])/(Tabelle1[Status]='KANBAN-Board'!D$11),ROW()-9)-9,1),"")</f>
        <v/>
      </c>
      <c r="E35" s="45" t="str">
        <f>IFERROR(INDEX(Tabelle1[User-Story-Name],_xlfn.AGGREGATE(15,3,ROW(Tabelle1[User-Story-Name])/(Tabelle1[Status]='KANBAN-Board'!E$11),ROW()-9)-9,1),"")</f>
        <v/>
      </c>
      <c r="F35" s="95" t="str">
        <f>IFERROR(INDEX(Tabelle1[User-Story-Name],_xlfn.AGGREGATE(15,3,ROW(Tabelle1[User-Story-Name])/(Tabelle1[Status]='KANBAN-Board'!F$11),ROW()-9)-9,1),"")</f>
        <v/>
      </c>
      <c r="G35" s="96" t="str">
        <f>IFERROR(INDEX(Tabelle1[User-Story-Name],_xlfn.AGGREGATE(15,3,ROW(Tabelle1[User-Story-Name])/(Tabelle1[Status]='KANBAN-Board'!G$11),ROW()-9)-9,1),"")</f>
        <v/>
      </c>
      <c r="H35" s="43" t="str">
        <f>IFERROR(INDEX(Tabelle1[User-Story-Name],_xlfn.AGGREGATE(15,3,ROW(Tabelle1[User-Story-Name])/(Tabelle1[Status]='KANBAN-Board'!H$11),ROW()-9)-9,1),"")</f>
        <v/>
      </c>
    </row>
    <row r="36" spans="2:8" x14ac:dyDescent="0.35">
      <c r="B36" s="41" t="str">
        <f>IFERROR(INDEX(Tabelle1[User-Story-Name],_xlfn.AGGREGATE(15,3,ROW(Tabelle1[User-Story-Name])/(Tabelle1[Status]='KANBAN-Board'!B$11),ROW()-9)-9,1),"")</f>
        <v/>
      </c>
      <c r="C36" s="50" t="str">
        <f>IFERROR(INDEX(Tabelle1[User-Story-Name],_xlfn.AGGREGATE(15,3,ROW(Tabelle1[User-Story-Name])/(Tabelle1[Status]='KANBAN-Board'!C$11),ROW()-9)-9,1),"")</f>
        <v/>
      </c>
      <c r="D36" s="47" t="str">
        <f>IFERROR(INDEX(Tabelle1[User-Story-Name],_xlfn.AGGREGATE(15,3,ROW(Tabelle1[User-Story-Name])/(Tabelle1[Status]='KANBAN-Board'!D$11),ROW()-9)-9,1),"")</f>
        <v/>
      </c>
      <c r="E36" s="45" t="str">
        <f>IFERROR(INDEX(Tabelle1[User-Story-Name],_xlfn.AGGREGATE(15,3,ROW(Tabelle1[User-Story-Name])/(Tabelle1[Status]='KANBAN-Board'!E$11),ROW()-9)-9,1),"")</f>
        <v/>
      </c>
      <c r="F36" s="95" t="str">
        <f>IFERROR(INDEX(Tabelle1[User-Story-Name],_xlfn.AGGREGATE(15,3,ROW(Tabelle1[User-Story-Name])/(Tabelle1[Status]='KANBAN-Board'!F$11),ROW()-9)-9,1),"")</f>
        <v/>
      </c>
      <c r="G36" s="96" t="str">
        <f>IFERROR(INDEX(Tabelle1[User-Story-Name],_xlfn.AGGREGATE(15,3,ROW(Tabelle1[User-Story-Name])/(Tabelle1[Status]='KANBAN-Board'!G$11),ROW()-9)-9,1),"")</f>
        <v/>
      </c>
      <c r="H36" s="43" t="str">
        <f>IFERROR(INDEX(Tabelle1[User-Story-Name],_xlfn.AGGREGATE(15,3,ROW(Tabelle1[User-Story-Name])/(Tabelle1[Status]='KANBAN-Board'!H$11),ROW()-9)-9,1),"")</f>
        <v/>
      </c>
    </row>
    <row r="37" spans="2:8" x14ac:dyDescent="0.35">
      <c r="B37" s="41" t="str">
        <f>IFERROR(INDEX(Tabelle1[User-Story-Name],_xlfn.AGGREGATE(15,3,ROW(Tabelle1[User-Story-Name])/(Tabelle1[Status]='KANBAN-Board'!B$11),ROW()-9)-9,1),"")</f>
        <v/>
      </c>
      <c r="C37" s="50" t="str">
        <f>IFERROR(INDEX(Tabelle1[User-Story-Name],_xlfn.AGGREGATE(15,3,ROW(Tabelle1[User-Story-Name])/(Tabelle1[Status]='KANBAN-Board'!C$11),ROW()-9)-9,1),"")</f>
        <v/>
      </c>
      <c r="D37" s="47" t="str">
        <f>IFERROR(INDEX(Tabelle1[User-Story-Name],_xlfn.AGGREGATE(15,3,ROW(Tabelle1[User-Story-Name])/(Tabelle1[Status]='KANBAN-Board'!D$11),ROW()-9)-9,1),"")</f>
        <v/>
      </c>
      <c r="E37" s="45" t="str">
        <f>IFERROR(INDEX(Tabelle1[User-Story-Name],_xlfn.AGGREGATE(15,3,ROW(Tabelle1[User-Story-Name])/(Tabelle1[Status]='KANBAN-Board'!E$11),ROW()-9)-9,1),"")</f>
        <v/>
      </c>
      <c r="F37" s="95" t="str">
        <f>IFERROR(INDEX(Tabelle1[User-Story-Name],_xlfn.AGGREGATE(15,3,ROW(Tabelle1[User-Story-Name])/(Tabelle1[Status]='KANBAN-Board'!F$11),ROW()-9)-9,1),"")</f>
        <v/>
      </c>
      <c r="G37" s="96" t="str">
        <f>IFERROR(INDEX(Tabelle1[User-Story-Name],_xlfn.AGGREGATE(15,3,ROW(Tabelle1[User-Story-Name])/(Tabelle1[Status]='KANBAN-Board'!G$11),ROW()-9)-9,1),"")</f>
        <v/>
      </c>
      <c r="H37" s="43" t="str">
        <f>IFERROR(INDEX(Tabelle1[User-Story-Name],_xlfn.AGGREGATE(15,3,ROW(Tabelle1[User-Story-Name])/(Tabelle1[Status]='KANBAN-Board'!H$11),ROW()-9)-9,1),"")</f>
        <v/>
      </c>
    </row>
    <row r="38" spans="2:8" x14ac:dyDescent="0.35">
      <c r="B38" s="41" t="str">
        <f>IFERROR(INDEX(Tabelle1[User-Story-Name],_xlfn.AGGREGATE(15,3,ROW(Tabelle1[User-Story-Name])/(Tabelle1[Status]='KANBAN-Board'!B$11),ROW()-9)-9,1),"")</f>
        <v/>
      </c>
      <c r="C38" s="50" t="str">
        <f>IFERROR(INDEX(Tabelle1[User-Story-Name],_xlfn.AGGREGATE(15,3,ROW(Tabelle1[User-Story-Name])/(Tabelle1[Status]='KANBAN-Board'!C$11),ROW()-9)-9,1),"")</f>
        <v/>
      </c>
      <c r="D38" s="47" t="str">
        <f>IFERROR(INDEX(Tabelle1[User-Story-Name],_xlfn.AGGREGATE(15,3,ROW(Tabelle1[User-Story-Name])/(Tabelle1[Status]='KANBAN-Board'!D$11),ROW()-9)-9,1),"")</f>
        <v/>
      </c>
      <c r="E38" s="45" t="str">
        <f>IFERROR(INDEX(Tabelle1[User-Story-Name],_xlfn.AGGREGATE(15,3,ROW(Tabelle1[User-Story-Name])/(Tabelle1[Status]='KANBAN-Board'!E$11),ROW()-9)-9,1),"")</f>
        <v/>
      </c>
      <c r="F38" s="95" t="str">
        <f>IFERROR(INDEX(Tabelle1[User-Story-Name],_xlfn.AGGREGATE(15,3,ROW(Tabelle1[User-Story-Name])/(Tabelle1[Status]='KANBAN-Board'!F$11),ROW()-9)-9,1),"")</f>
        <v/>
      </c>
      <c r="G38" s="96" t="str">
        <f>IFERROR(INDEX(Tabelle1[User-Story-Name],_xlfn.AGGREGATE(15,3,ROW(Tabelle1[User-Story-Name])/(Tabelle1[Status]='KANBAN-Board'!G$11),ROW()-9)-9,1),"")</f>
        <v/>
      </c>
      <c r="H38" s="43" t="str">
        <f>IFERROR(INDEX(Tabelle1[User-Story-Name],_xlfn.AGGREGATE(15,3,ROW(Tabelle1[User-Story-Name])/(Tabelle1[Status]='KANBAN-Board'!H$11),ROW()-9)-9,1),"")</f>
        <v/>
      </c>
    </row>
    <row r="39" spans="2:8" ht="15" thickBot="1" x14ac:dyDescent="0.4">
      <c r="B39" s="42" t="str">
        <f>IFERROR(INDEX(Tabelle1[User-Story-Name],_xlfn.AGGREGATE(15,3,ROW(Tabelle1[User-Story-Name])/(Tabelle1[Status]='KANBAN-Board'!B$11),ROW()-9)-9,1),"")</f>
        <v/>
      </c>
      <c r="C39" s="51" t="str">
        <f>IFERROR(INDEX(Tabelle1[User-Story-Name],_xlfn.AGGREGATE(15,3,ROW(Tabelle1[User-Story-Name])/(Tabelle1[Status]='KANBAN-Board'!C$11),ROW()-9)-9,1),"")</f>
        <v/>
      </c>
      <c r="D39" s="48" t="str">
        <f>IFERROR(INDEX(Tabelle1[User-Story-Name],_xlfn.AGGREGATE(15,3,ROW(Tabelle1[User-Story-Name])/(Tabelle1[Status]='KANBAN-Board'!D$11),ROW()-9)-9,1),"")</f>
        <v/>
      </c>
      <c r="E39" s="46" t="str">
        <f>IFERROR(INDEX(Tabelle1[User-Story-Name],_xlfn.AGGREGATE(15,3,ROW(Tabelle1[User-Story-Name])/(Tabelle1[Status]='KANBAN-Board'!E$11),ROW()-9)-9,1),"")</f>
        <v/>
      </c>
      <c r="F39" s="97" t="str">
        <f>IFERROR(INDEX(Tabelle1[User-Story-Name],_xlfn.AGGREGATE(15,3,ROW(Tabelle1[User-Story-Name])/(Tabelle1[Status]='KANBAN-Board'!F$11),ROW()-9)-9,1),"")</f>
        <v/>
      </c>
      <c r="G39" s="98" t="str">
        <f>IFERROR(INDEX(Tabelle1[User-Story-Name],_xlfn.AGGREGATE(15,3,ROW(Tabelle1[User-Story-Name])/(Tabelle1[Status]='KANBAN-Board'!G$11),ROW()-9)-9,1),"")</f>
        <v/>
      </c>
      <c r="H39" s="44" t="str">
        <f>IFERROR(INDEX(Tabelle1[User-Story-Name],_xlfn.AGGREGATE(15,3,ROW(Tabelle1[User-Story-Name])/(Tabelle1[Status]='KANBAN-Board'!H$11),ROW()-9)-9,1),"")</f>
        <v/>
      </c>
    </row>
  </sheetData>
  <pageMargins left="0.19685039370078741" right="0.23622047244094491" top="0.78740157480314965" bottom="0.19685039370078741" header="0.19685039370078741" footer="0.19685039370078741"/>
  <pageSetup paperSize="9" scale="84" orientation="portrait" horizontalDpi="4294967293" r:id="rId1"/>
  <headerFooter>
    <oddHeader>&amp;L&amp;G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DA8B-1969-4CB8-B2C8-BC9D82A57031}">
  <dimension ref="C2:P43"/>
  <sheetViews>
    <sheetView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10" t="s">
        <v>132</v>
      </c>
      <c r="D3" s="111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</row>
    <row r="4" spans="3:16" x14ac:dyDescent="0.35">
      <c r="C4" s="114" t="s">
        <v>10</v>
      </c>
      <c r="D4" s="120" t="s">
        <v>4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15"/>
    </row>
    <row r="5" spans="3:16" x14ac:dyDescent="0.35">
      <c r="C5" s="114" t="s">
        <v>11</v>
      </c>
      <c r="D5" s="120" t="s">
        <v>12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15"/>
    </row>
    <row r="6" spans="3:16" x14ac:dyDescent="0.35">
      <c r="C6" s="114" t="s">
        <v>13</v>
      </c>
      <c r="D6" s="120" t="s">
        <v>14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15"/>
    </row>
    <row r="7" spans="3:16" ht="15" thickBot="1" x14ac:dyDescent="0.4">
      <c r="C7" s="116" t="s">
        <v>15</v>
      </c>
      <c r="D7" s="117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9"/>
    </row>
    <row r="10" spans="3:16" ht="15" thickBot="1" x14ac:dyDescent="0.4"/>
    <row r="11" spans="3:16" x14ac:dyDescent="0.35">
      <c r="C11" s="101"/>
      <c r="D11" s="102" t="s">
        <v>141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4"/>
    </row>
    <row r="12" spans="3:16" x14ac:dyDescent="0.35">
      <c r="C12" s="105"/>
      <c r="D12" s="38" t="s">
        <v>134</v>
      </c>
      <c r="E12" s="38"/>
      <c r="F12" s="38"/>
      <c r="G12" s="38"/>
      <c r="H12" s="38"/>
      <c r="I12" s="38" t="s">
        <v>140</v>
      </c>
      <c r="J12" s="71">
        <v>1</v>
      </c>
      <c r="K12" s="71">
        <v>2</v>
      </c>
      <c r="L12" s="71">
        <v>3</v>
      </c>
      <c r="M12" s="71">
        <v>4</v>
      </c>
      <c r="N12" s="71">
        <v>5</v>
      </c>
      <c r="O12" s="71">
        <v>6</v>
      </c>
      <c r="P12" s="106"/>
    </row>
    <row r="13" spans="3:16" x14ac:dyDescent="0.35">
      <c r="C13" s="105"/>
      <c r="D13" s="38" t="s">
        <v>133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6"/>
    </row>
    <row r="14" spans="3:16" x14ac:dyDescent="0.35">
      <c r="C14" s="105"/>
      <c r="D14" s="38" t="s">
        <v>135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6"/>
    </row>
    <row r="15" spans="3:16" x14ac:dyDescent="0.35">
      <c r="C15" s="105"/>
      <c r="D15" s="38" t="s">
        <v>136</v>
      </c>
      <c r="E15" s="38"/>
      <c r="F15" s="38"/>
      <c r="G15" s="38"/>
      <c r="H15" s="38"/>
      <c r="I15" s="38" t="s">
        <v>144</v>
      </c>
      <c r="J15" s="100">
        <f>'Product-Backlog'!F45</f>
        <v>25</v>
      </c>
      <c r="K15" s="100">
        <f>'Product-Backlog'!F45</f>
        <v>25</v>
      </c>
      <c r="L15" s="100">
        <f>'Product-Backlog'!F45</f>
        <v>25</v>
      </c>
      <c r="M15" s="100"/>
      <c r="N15" s="100"/>
      <c r="O15" s="100"/>
      <c r="P15" s="106"/>
    </row>
    <row r="16" spans="3:16" x14ac:dyDescent="0.35">
      <c r="C16" s="105"/>
      <c r="D16" s="38" t="s">
        <v>138</v>
      </c>
      <c r="E16" s="38"/>
      <c r="F16" s="38"/>
      <c r="G16" s="38"/>
      <c r="H16" s="38"/>
      <c r="I16" s="38"/>
      <c r="J16" s="45">
        <f>J17</f>
        <v>4</v>
      </c>
      <c r="K16" s="45">
        <f t="shared" ref="K16:L16" si="0">J16+K17</f>
        <v>8</v>
      </c>
      <c r="L16" s="45">
        <f t="shared" si="0"/>
        <v>12</v>
      </c>
      <c r="M16" s="45"/>
      <c r="N16" s="45"/>
      <c r="O16" s="45"/>
      <c r="P16" s="106"/>
    </row>
    <row r="17" spans="3:16" x14ac:dyDescent="0.35">
      <c r="C17" s="105"/>
      <c r="D17" s="38" t="s">
        <v>137</v>
      </c>
      <c r="E17" s="38"/>
      <c r="F17" s="38"/>
      <c r="G17" s="38"/>
      <c r="H17" s="38"/>
      <c r="I17" s="38" t="s">
        <v>147</v>
      </c>
      <c r="J17" s="100">
        <f>'Product-Backlog'!M45</f>
        <v>4</v>
      </c>
      <c r="K17" s="100">
        <f>'Product-Backlog'!M58</f>
        <v>4</v>
      </c>
      <c r="L17" s="100">
        <f>'Product-Backlog'!M71</f>
        <v>4</v>
      </c>
      <c r="M17" s="100"/>
      <c r="N17" s="100"/>
      <c r="O17" s="100"/>
      <c r="P17" s="106"/>
    </row>
    <row r="18" spans="3:16" x14ac:dyDescent="0.35">
      <c r="C18" s="105"/>
      <c r="D18" s="38" t="s">
        <v>142</v>
      </c>
      <c r="E18" s="38"/>
      <c r="F18" s="38"/>
      <c r="G18" s="38"/>
      <c r="H18" s="38"/>
      <c r="I18" s="38" t="s">
        <v>145</v>
      </c>
      <c r="J18" s="121">
        <f>J15-J17</f>
        <v>21</v>
      </c>
      <c r="K18" s="121">
        <f>K15-J17-K17</f>
        <v>17</v>
      </c>
      <c r="L18" s="121">
        <f>L15-J17-K17-L17</f>
        <v>13</v>
      </c>
      <c r="M18" s="121"/>
      <c r="N18" s="121"/>
      <c r="O18" s="121"/>
      <c r="P18" s="106"/>
    </row>
    <row r="19" spans="3:16" x14ac:dyDescent="0.35">
      <c r="C19" s="105"/>
      <c r="D19" s="38" t="s">
        <v>143</v>
      </c>
      <c r="E19" s="38"/>
      <c r="F19" s="38"/>
      <c r="G19" s="38"/>
      <c r="H19" s="38"/>
      <c r="I19" s="38" t="s">
        <v>146</v>
      </c>
      <c r="J19" s="45">
        <f>J18</f>
        <v>21</v>
      </c>
      <c r="K19" s="45">
        <f t="shared" ref="K19:L19" si="1">K18</f>
        <v>17</v>
      </c>
      <c r="L19" s="45">
        <f t="shared" si="1"/>
        <v>13</v>
      </c>
      <c r="M19" s="45"/>
      <c r="N19" s="45"/>
      <c r="O19" s="45"/>
      <c r="P19" s="106"/>
    </row>
    <row r="20" spans="3:16" x14ac:dyDescent="0.35">
      <c r="C20" s="122"/>
      <c r="D20" s="123" t="s">
        <v>164</v>
      </c>
      <c r="E20" s="123"/>
      <c r="F20" s="123"/>
      <c r="G20" s="123"/>
      <c r="H20" s="123"/>
      <c r="I20" s="123"/>
      <c r="J20" s="124">
        <f>J17</f>
        <v>4</v>
      </c>
      <c r="K20" s="124">
        <f t="shared" ref="K20:L20" si="2">K17</f>
        <v>4</v>
      </c>
      <c r="L20" s="124">
        <f t="shared" si="2"/>
        <v>4</v>
      </c>
      <c r="M20" s="124"/>
      <c r="N20" s="124"/>
      <c r="O20" s="124"/>
      <c r="P20" s="125"/>
    </row>
    <row r="21" spans="3:16" x14ac:dyDescent="0.35">
      <c r="C21" s="122"/>
      <c r="D21" s="123" t="s">
        <v>165</v>
      </c>
      <c r="E21" s="123"/>
      <c r="F21" s="123"/>
      <c r="G21" s="123"/>
      <c r="H21" s="123"/>
      <c r="I21" s="123"/>
      <c r="J21" s="124">
        <f>J20/1</f>
        <v>4</v>
      </c>
      <c r="K21" s="124">
        <f>(J20+K20)/2</f>
        <v>4</v>
      </c>
      <c r="L21" s="124">
        <f>(J20+K20+L20)/3</f>
        <v>4</v>
      </c>
      <c r="M21" s="124"/>
      <c r="N21" s="124"/>
      <c r="O21" s="124"/>
      <c r="P21" s="125"/>
    </row>
    <row r="22" spans="3:16" x14ac:dyDescent="0.35">
      <c r="C22" s="122"/>
      <c r="D22" s="123" t="s">
        <v>166</v>
      </c>
      <c r="E22" s="123"/>
      <c r="F22" s="123"/>
      <c r="G22" s="123"/>
      <c r="H22" s="123"/>
      <c r="I22" s="123"/>
      <c r="J22" s="126">
        <f>J15/J21</f>
        <v>6.25</v>
      </c>
      <c r="K22" s="126">
        <f>K15/K21</f>
        <v>6.25</v>
      </c>
      <c r="L22" s="126">
        <f t="shared" ref="L22" si="3">L15/L21</f>
        <v>6.25</v>
      </c>
      <c r="M22" s="126"/>
      <c r="N22" s="126"/>
      <c r="O22" s="126"/>
      <c r="P22" s="125"/>
    </row>
    <row r="23" spans="3:16" ht="15" thickBot="1" x14ac:dyDescent="0.4">
      <c r="C23" s="107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9"/>
    </row>
    <row r="43" spans="4:4" x14ac:dyDescent="0.35">
      <c r="D43" s="99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26B43-CDE1-4A19-B4E8-3226202ADB33}">
  <dimension ref="C2:P43"/>
  <sheetViews>
    <sheetView workbookViewId="0">
      <selection activeCell="C3" sqref="C3"/>
    </sheetView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10" t="s">
        <v>260</v>
      </c>
      <c r="D3" s="111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</row>
    <row r="4" spans="3:16" x14ac:dyDescent="0.35">
      <c r="C4" s="114" t="s">
        <v>10</v>
      </c>
      <c r="D4" s="120" t="s">
        <v>4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15"/>
    </row>
    <row r="5" spans="3:16" x14ac:dyDescent="0.35">
      <c r="C5" s="114" t="s">
        <v>11</v>
      </c>
      <c r="D5" s="120" t="s">
        <v>12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15"/>
    </row>
    <row r="6" spans="3:16" x14ac:dyDescent="0.35">
      <c r="C6" s="114" t="s">
        <v>13</v>
      </c>
      <c r="D6" s="120" t="s">
        <v>14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15"/>
    </row>
    <row r="7" spans="3:16" ht="15" thickBot="1" x14ac:dyDescent="0.4">
      <c r="C7" s="116" t="s">
        <v>15</v>
      </c>
      <c r="D7" s="117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9"/>
    </row>
    <row r="10" spans="3:16" ht="15" thickBot="1" x14ac:dyDescent="0.4"/>
    <row r="11" spans="3:16" x14ac:dyDescent="0.35">
      <c r="C11" s="101"/>
      <c r="D11" s="102" t="s">
        <v>141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4"/>
    </row>
    <row r="12" spans="3:16" x14ac:dyDescent="0.35">
      <c r="C12" s="105"/>
      <c r="D12" s="38" t="s">
        <v>134</v>
      </c>
      <c r="E12" s="38"/>
      <c r="F12" s="38"/>
      <c r="G12" s="38"/>
      <c r="H12" s="38"/>
      <c r="I12" s="38" t="s">
        <v>140</v>
      </c>
      <c r="J12" s="71">
        <v>1</v>
      </c>
      <c r="K12" s="71">
        <v>2</v>
      </c>
      <c r="L12" s="71">
        <v>3</v>
      </c>
      <c r="M12" s="71">
        <v>4</v>
      </c>
      <c r="N12" s="71">
        <v>5</v>
      </c>
      <c r="O12" s="71">
        <v>6</v>
      </c>
      <c r="P12" s="106"/>
    </row>
    <row r="13" spans="3:16" x14ac:dyDescent="0.35">
      <c r="C13" s="105"/>
      <c r="D13" s="38" t="s">
        <v>133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6"/>
    </row>
    <row r="14" spans="3:16" x14ac:dyDescent="0.35">
      <c r="C14" s="105"/>
      <c r="D14" s="38" t="s">
        <v>135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6"/>
    </row>
    <row r="15" spans="3:16" x14ac:dyDescent="0.35">
      <c r="C15" s="105"/>
      <c r="D15" s="38" t="s">
        <v>136</v>
      </c>
      <c r="E15" s="38"/>
      <c r="F15" s="38"/>
      <c r="G15" s="38"/>
      <c r="H15" s="38"/>
      <c r="I15" s="38" t="s">
        <v>144</v>
      </c>
      <c r="J15" s="100">
        <f>'Product-Backlog'!F45</f>
        <v>25</v>
      </c>
      <c r="K15" s="100">
        <f>'Product-Backlog'!F45</f>
        <v>25</v>
      </c>
      <c r="L15" s="100">
        <f>'Product-Backlog'!F45</f>
        <v>25</v>
      </c>
      <c r="M15" s="100"/>
      <c r="N15" s="100"/>
      <c r="O15" s="100"/>
      <c r="P15" s="106"/>
    </row>
    <row r="16" spans="3:16" x14ac:dyDescent="0.35">
      <c r="C16" s="105"/>
      <c r="D16" s="38" t="s">
        <v>138</v>
      </c>
      <c r="E16" s="38"/>
      <c r="F16" s="38"/>
      <c r="G16" s="38"/>
      <c r="H16" s="38"/>
      <c r="I16" s="38" t="s">
        <v>148</v>
      </c>
      <c r="J16" s="45">
        <f>J17</f>
        <v>4</v>
      </c>
      <c r="K16" s="45">
        <f t="shared" ref="K16:L16" si="0">J16+K17</f>
        <v>8</v>
      </c>
      <c r="L16" s="45">
        <f t="shared" si="0"/>
        <v>12</v>
      </c>
      <c r="M16" s="45"/>
      <c r="N16" s="45"/>
      <c r="O16" s="45"/>
      <c r="P16" s="106"/>
    </row>
    <row r="17" spans="3:16" x14ac:dyDescent="0.35">
      <c r="C17" s="105"/>
      <c r="D17" s="38" t="s">
        <v>137</v>
      </c>
      <c r="E17" s="38"/>
      <c r="F17" s="38"/>
      <c r="G17" s="38"/>
      <c r="H17" s="38"/>
      <c r="I17" s="38" t="s">
        <v>147</v>
      </c>
      <c r="J17" s="100">
        <f>'Product-Backlog'!M45</f>
        <v>4</v>
      </c>
      <c r="K17" s="100">
        <f>'Product-Backlog'!M58</f>
        <v>4</v>
      </c>
      <c r="L17" s="100">
        <f>'Product-Backlog'!M71</f>
        <v>4</v>
      </c>
      <c r="M17" s="100"/>
      <c r="N17" s="100"/>
      <c r="O17" s="100"/>
      <c r="P17" s="106"/>
    </row>
    <row r="18" spans="3:16" x14ac:dyDescent="0.35">
      <c r="C18" s="105"/>
      <c r="D18" s="38" t="s">
        <v>142</v>
      </c>
      <c r="E18" s="38"/>
      <c r="F18" s="38"/>
      <c r="G18" s="38"/>
      <c r="H18" s="38"/>
      <c r="I18" s="38" t="s">
        <v>145</v>
      </c>
      <c r="J18" s="121">
        <f>J15-J17</f>
        <v>21</v>
      </c>
      <c r="K18" s="121">
        <f>K15-J17-K17</f>
        <v>17</v>
      </c>
      <c r="L18" s="121">
        <f>L15-J17-K17-L17</f>
        <v>13</v>
      </c>
      <c r="M18" s="121"/>
      <c r="N18" s="121"/>
      <c r="O18" s="121"/>
      <c r="P18" s="106"/>
    </row>
    <row r="19" spans="3:16" x14ac:dyDescent="0.35">
      <c r="C19" s="105"/>
      <c r="D19" s="38" t="s">
        <v>143</v>
      </c>
      <c r="E19" s="38"/>
      <c r="F19" s="38"/>
      <c r="G19" s="38"/>
      <c r="H19" s="38"/>
      <c r="I19" s="38" t="s">
        <v>146</v>
      </c>
      <c r="J19" s="45">
        <f>J18</f>
        <v>21</v>
      </c>
      <c r="K19" s="45">
        <f t="shared" ref="K19:L19" si="1">K18</f>
        <v>17</v>
      </c>
      <c r="L19" s="45">
        <f t="shared" si="1"/>
        <v>13</v>
      </c>
      <c r="M19" s="45"/>
      <c r="N19" s="45"/>
      <c r="O19" s="45"/>
      <c r="P19" s="106"/>
    </row>
    <row r="20" spans="3:16" x14ac:dyDescent="0.35">
      <c r="C20" s="122"/>
      <c r="D20" s="123" t="s">
        <v>164</v>
      </c>
      <c r="E20" s="123"/>
      <c r="F20" s="123"/>
      <c r="G20" s="123"/>
      <c r="H20" s="123"/>
      <c r="I20" s="123"/>
      <c r="J20" s="124">
        <f>J17</f>
        <v>4</v>
      </c>
      <c r="K20" s="124">
        <f t="shared" ref="K20:L20" si="2">K17</f>
        <v>4</v>
      </c>
      <c r="L20" s="124">
        <f t="shared" si="2"/>
        <v>4</v>
      </c>
      <c r="M20" s="124"/>
      <c r="N20" s="124"/>
      <c r="O20" s="124"/>
      <c r="P20" s="125"/>
    </row>
    <row r="21" spans="3:16" x14ac:dyDescent="0.35">
      <c r="C21" s="122"/>
      <c r="D21" s="123" t="s">
        <v>165</v>
      </c>
      <c r="E21" s="123"/>
      <c r="F21" s="123"/>
      <c r="G21" s="123"/>
      <c r="H21" s="123"/>
      <c r="I21" s="123"/>
      <c r="J21" s="124">
        <f>J20/1</f>
        <v>4</v>
      </c>
      <c r="K21" s="124">
        <f>(J20+K20)/2</f>
        <v>4</v>
      </c>
      <c r="L21" s="124">
        <f>(J20+K20+L20)/3</f>
        <v>4</v>
      </c>
      <c r="M21" s="124"/>
      <c r="N21" s="124"/>
      <c r="O21" s="124"/>
      <c r="P21" s="125"/>
    </row>
    <row r="22" spans="3:16" x14ac:dyDescent="0.35">
      <c r="C22" s="122"/>
      <c r="D22" s="123" t="s">
        <v>166</v>
      </c>
      <c r="E22" s="123"/>
      <c r="F22" s="123"/>
      <c r="G22" s="123"/>
      <c r="H22" s="123"/>
      <c r="I22" s="123"/>
      <c r="J22" s="126">
        <f>J15/J21</f>
        <v>6.25</v>
      </c>
      <c r="K22" s="126">
        <f>K15/K21</f>
        <v>6.25</v>
      </c>
      <c r="L22" s="126">
        <f t="shared" ref="L22" si="3">L15/L21</f>
        <v>6.25</v>
      </c>
      <c r="M22" s="126"/>
      <c r="N22" s="126"/>
      <c r="O22" s="126"/>
      <c r="P22" s="125"/>
    </row>
    <row r="23" spans="3:16" ht="15" thickBot="1" x14ac:dyDescent="0.4">
      <c r="C23" s="107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9"/>
    </row>
    <row r="43" spans="4:4" x14ac:dyDescent="0.35">
      <c r="D43" s="99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73BE-D474-41BE-BA77-963EFF03F21B}">
  <dimension ref="C2:P27"/>
  <sheetViews>
    <sheetView zoomScaleNormal="100"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10" t="s">
        <v>132</v>
      </c>
      <c r="D3" s="111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</row>
    <row r="4" spans="3:16" x14ac:dyDescent="0.35">
      <c r="C4" s="114" t="s">
        <v>10</v>
      </c>
      <c r="D4" s="120" t="s">
        <v>4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15"/>
    </row>
    <row r="5" spans="3:16" x14ac:dyDescent="0.35">
      <c r="C5" s="114" t="s">
        <v>11</v>
      </c>
      <c r="D5" s="120" t="s">
        <v>12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15"/>
    </row>
    <row r="6" spans="3:16" x14ac:dyDescent="0.35">
      <c r="C6" s="114" t="s">
        <v>13</v>
      </c>
      <c r="D6" s="120" t="s">
        <v>14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15"/>
    </row>
    <row r="7" spans="3:16" ht="15" thickBot="1" x14ac:dyDescent="0.4">
      <c r="C7" s="116" t="s">
        <v>15</v>
      </c>
      <c r="D7" s="117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9"/>
    </row>
    <row r="10" spans="3:16" ht="15" thickBot="1" x14ac:dyDescent="0.4"/>
    <row r="11" spans="3:16" x14ac:dyDescent="0.35">
      <c r="C11" s="101"/>
      <c r="D11" s="102" t="s">
        <v>149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4"/>
    </row>
    <row r="12" spans="3:16" x14ac:dyDescent="0.35">
      <c r="C12" s="105"/>
      <c r="D12" s="38" t="s">
        <v>134</v>
      </c>
      <c r="E12" s="38"/>
      <c r="F12" s="38"/>
      <c r="G12" s="38"/>
      <c r="H12" s="38"/>
      <c r="I12" s="38" t="s">
        <v>140</v>
      </c>
      <c r="J12" s="71">
        <v>1</v>
      </c>
      <c r="K12" s="71">
        <v>2</v>
      </c>
      <c r="L12" s="71">
        <v>3</v>
      </c>
      <c r="M12" s="71">
        <v>4</v>
      </c>
      <c r="N12" s="71">
        <v>5</v>
      </c>
      <c r="O12" s="71">
        <v>6</v>
      </c>
      <c r="P12" s="106"/>
    </row>
    <row r="13" spans="3:16" x14ac:dyDescent="0.35">
      <c r="C13" s="105"/>
      <c r="D13" s="38" t="s">
        <v>133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6"/>
    </row>
    <row r="14" spans="3:16" x14ac:dyDescent="0.35">
      <c r="C14" s="105"/>
      <c r="D14" s="38" t="s">
        <v>135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6"/>
    </row>
    <row r="15" spans="3:16" x14ac:dyDescent="0.35">
      <c r="C15" s="105"/>
      <c r="D15" s="38" t="s">
        <v>150</v>
      </c>
      <c r="E15" s="38"/>
      <c r="F15" s="38"/>
      <c r="G15" s="38"/>
      <c r="H15" s="38"/>
      <c r="I15" s="38" t="s">
        <v>144</v>
      </c>
      <c r="J15" s="100">
        <f>'Product-Backlog'!F46</f>
        <v>242</v>
      </c>
      <c r="K15" s="100">
        <f>'Product-Backlog'!F46</f>
        <v>242</v>
      </c>
      <c r="L15" s="100">
        <f>'Product-Backlog'!F46</f>
        <v>242</v>
      </c>
      <c r="M15" s="100"/>
      <c r="N15" s="100"/>
      <c r="O15" s="100"/>
      <c r="P15" s="106"/>
    </row>
    <row r="16" spans="3:16" x14ac:dyDescent="0.35">
      <c r="C16" s="105"/>
      <c r="D16" s="38" t="s">
        <v>151</v>
      </c>
      <c r="E16" s="38"/>
      <c r="F16" s="38"/>
      <c r="G16" s="38"/>
      <c r="H16" s="38"/>
      <c r="I16" s="38"/>
      <c r="J16" s="45">
        <f>J17</f>
        <v>37</v>
      </c>
      <c r="K16" s="45">
        <f t="shared" ref="K16:L16" si="0">J16+K17</f>
        <v>68</v>
      </c>
      <c r="L16" s="45">
        <f t="shared" si="0"/>
        <v>120</v>
      </c>
      <c r="M16" s="45"/>
      <c r="N16" s="45"/>
      <c r="O16" s="45"/>
      <c r="P16" s="106"/>
    </row>
    <row r="17" spans="3:16" x14ac:dyDescent="0.35">
      <c r="C17" s="105"/>
      <c r="D17" s="38" t="s">
        <v>152</v>
      </c>
      <c r="E17" s="38"/>
      <c r="F17" s="38"/>
      <c r="G17" s="38"/>
      <c r="H17" s="38"/>
      <c r="I17" s="38" t="s">
        <v>155</v>
      </c>
      <c r="J17" s="100">
        <f>'Product-Backlog'!M47</f>
        <v>37</v>
      </c>
      <c r="K17" s="100">
        <f>'Product-Backlog'!M60</f>
        <v>31</v>
      </c>
      <c r="L17" s="100">
        <f>'Product-Backlog'!M73</f>
        <v>52</v>
      </c>
      <c r="M17" s="100"/>
      <c r="N17" s="100"/>
      <c r="O17" s="100"/>
      <c r="P17" s="106"/>
    </row>
    <row r="18" spans="3:16" x14ac:dyDescent="0.35">
      <c r="C18" s="105"/>
      <c r="D18" s="38" t="s">
        <v>153</v>
      </c>
      <c r="E18" s="38"/>
      <c r="F18" s="38"/>
      <c r="G18" s="38"/>
      <c r="H18" s="38"/>
      <c r="I18" s="38" t="s">
        <v>156</v>
      </c>
      <c r="J18" s="121">
        <f>J15-J17</f>
        <v>205</v>
      </c>
      <c r="K18" s="121">
        <f>K15-J17-K17</f>
        <v>174</v>
      </c>
      <c r="L18" s="121">
        <f>L15-J17-K17-L17</f>
        <v>122</v>
      </c>
      <c r="M18" s="121"/>
      <c r="N18" s="121"/>
      <c r="O18" s="121"/>
      <c r="P18" s="106"/>
    </row>
    <row r="19" spans="3:16" x14ac:dyDescent="0.35">
      <c r="C19" s="105"/>
      <c r="D19" s="38" t="s">
        <v>154</v>
      </c>
      <c r="E19" s="38"/>
      <c r="F19" s="38"/>
      <c r="G19" s="38"/>
      <c r="H19" s="38"/>
      <c r="I19" s="38" t="s">
        <v>157</v>
      </c>
      <c r="J19" s="45">
        <f>J18</f>
        <v>205</v>
      </c>
      <c r="K19" s="45">
        <f t="shared" ref="K19:L19" si="1">K18</f>
        <v>174</v>
      </c>
      <c r="L19" s="45">
        <f t="shared" si="1"/>
        <v>122</v>
      </c>
      <c r="M19" s="45"/>
      <c r="N19" s="45"/>
      <c r="O19" s="45"/>
      <c r="P19" s="106"/>
    </row>
    <row r="20" spans="3:16" x14ac:dyDescent="0.35">
      <c r="C20" s="122"/>
      <c r="D20" s="123" t="s">
        <v>164</v>
      </c>
      <c r="E20" s="123"/>
      <c r="F20" s="123"/>
      <c r="G20" s="123"/>
      <c r="H20" s="123"/>
      <c r="I20" s="123"/>
      <c r="J20" s="124">
        <f>J17</f>
        <v>37</v>
      </c>
      <c r="K20" s="124">
        <f t="shared" ref="K20:L20" si="2">K17</f>
        <v>31</v>
      </c>
      <c r="L20" s="124">
        <f t="shared" si="2"/>
        <v>52</v>
      </c>
      <c r="M20" s="124"/>
      <c r="N20" s="124"/>
      <c r="O20" s="124"/>
      <c r="P20" s="125"/>
    </row>
    <row r="21" spans="3:16" x14ac:dyDescent="0.35">
      <c r="C21" s="122"/>
      <c r="D21" s="123" t="s">
        <v>165</v>
      </c>
      <c r="E21" s="123"/>
      <c r="F21" s="123"/>
      <c r="G21" s="123"/>
      <c r="H21" s="123"/>
      <c r="I21" s="123"/>
      <c r="J21" s="124">
        <f>J20/1</f>
        <v>37</v>
      </c>
      <c r="K21" s="124">
        <f>(J20+K20)/2</f>
        <v>34</v>
      </c>
      <c r="L21" s="124">
        <f>(J20+K20+L20)/3</f>
        <v>40</v>
      </c>
      <c r="M21" s="124"/>
      <c r="N21" s="124"/>
      <c r="O21" s="124"/>
      <c r="P21" s="125"/>
    </row>
    <row r="22" spans="3:16" x14ac:dyDescent="0.35">
      <c r="C22" s="122"/>
      <c r="D22" s="123" t="s">
        <v>166</v>
      </c>
      <c r="E22" s="123"/>
      <c r="F22" s="123"/>
      <c r="G22" s="123"/>
      <c r="H22" s="123"/>
      <c r="I22" s="123"/>
      <c r="J22" s="126">
        <f>J15/J21</f>
        <v>6.5405405405405403</v>
      </c>
      <c r="K22" s="126">
        <f t="shared" ref="K22:L22" si="3">K15/K21</f>
        <v>7.117647058823529</v>
      </c>
      <c r="L22" s="126">
        <f t="shared" si="3"/>
        <v>6.05</v>
      </c>
      <c r="M22" s="126"/>
      <c r="N22" s="126"/>
      <c r="O22" s="126"/>
      <c r="P22" s="125"/>
    </row>
    <row r="23" spans="3:16" ht="15" thickBot="1" x14ac:dyDescent="0.4">
      <c r="C23" s="107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9"/>
    </row>
    <row r="27" spans="3:16" x14ac:dyDescent="0.35">
      <c r="D27" s="99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12EA6-EF7D-445A-B21C-775FFEC974ED}">
  <dimension ref="C2:P43"/>
  <sheetViews>
    <sheetView zoomScaleNormal="100" workbookViewId="0">
      <selection activeCell="C3" sqref="C3"/>
    </sheetView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10" t="s">
        <v>260</v>
      </c>
      <c r="D3" s="111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</row>
    <row r="4" spans="3:16" x14ac:dyDescent="0.35">
      <c r="C4" s="114" t="s">
        <v>10</v>
      </c>
      <c r="D4" s="120" t="s">
        <v>4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15"/>
    </row>
    <row r="5" spans="3:16" x14ac:dyDescent="0.35">
      <c r="C5" s="114" t="s">
        <v>11</v>
      </c>
      <c r="D5" s="120" t="s">
        <v>12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15"/>
    </row>
    <row r="6" spans="3:16" x14ac:dyDescent="0.35">
      <c r="C6" s="114" t="s">
        <v>13</v>
      </c>
      <c r="D6" s="120" t="s">
        <v>14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15"/>
    </row>
    <row r="7" spans="3:16" ht="15" thickBot="1" x14ac:dyDescent="0.4">
      <c r="C7" s="116" t="s">
        <v>15</v>
      </c>
      <c r="D7" s="117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9"/>
    </row>
    <row r="10" spans="3:16" ht="15" thickBot="1" x14ac:dyDescent="0.4"/>
    <row r="11" spans="3:16" x14ac:dyDescent="0.35">
      <c r="C11" s="101"/>
      <c r="D11" s="102" t="s">
        <v>149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4"/>
    </row>
    <row r="12" spans="3:16" x14ac:dyDescent="0.35">
      <c r="C12" s="105"/>
      <c r="D12" s="38" t="s">
        <v>134</v>
      </c>
      <c r="E12" s="38"/>
      <c r="F12" s="38"/>
      <c r="G12" s="38"/>
      <c r="H12" s="38"/>
      <c r="I12" s="38" t="s">
        <v>140</v>
      </c>
      <c r="J12" s="71">
        <v>1</v>
      </c>
      <c r="K12" s="71">
        <v>2</v>
      </c>
      <c r="L12" s="71">
        <v>3</v>
      </c>
      <c r="M12" s="71">
        <v>4</v>
      </c>
      <c r="N12" s="71">
        <v>5</v>
      </c>
      <c r="O12" s="71">
        <v>6</v>
      </c>
      <c r="P12" s="106"/>
    </row>
    <row r="13" spans="3:16" x14ac:dyDescent="0.35">
      <c r="C13" s="105"/>
      <c r="D13" s="38" t="s">
        <v>133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6"/>
    </row>
    <row r="14" spans="3:16" x14ac:dyDescent="0.35">
      <c r="C14" s="105"/>
      <c r="D14" s="38" t="s">
        <v>135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6"/>
    </row>
    <row r="15" spans="3:16" x14ac:dyDescent="0.35">
      <c r="C15" s="105"/>
      <c r="D15" s="38" t="s">
        <v>139</v>
      </c>
      <c r="E15" s="38"/>
      <c r="F15" s="38"/>
      <c r="G15" s="38"/>
      <c r="H15" s="38"/>
      <c r="I15" s="38" t="s">
        <v>144</v>
      </c>
      <c r="J15" s="100">
        <f>'Product-Backlog'!F46</f>
        <v>242</v>
      </c>
      <c r="K15" s="100">
        <f>'Product-Backlog'!F46</f>
        <v>242</v>
      </c>
      <c r="L15" s="100">
        <f>'Product-Backlog'!F46</f>
        <v>242</v>
      </c>
      <c r="M15" s="100"/>
      <c r="N15" s="100"/>
      <c r="O15" s="100"/>
      <c r="P15" s="106"/>
    </row>
    <row r="16" spans="3:16" x14ac:dyDescent="0.35">
      <c r="C16" s="105"/>
      <c r="D16" s="38" t="s">
        <v>158</v>
      </c>
      <c r="E16" s="38"/>
      <c r="F16" s="38"/>
      <c r="G16" s="38"/>
      <c r="H16" s="38"/>
      <c r="I16" s="38" t="s">
        <v>163</v>
      </c>
      <c r="J16" s="45">
        <f>J17</f>
        <v>37</v>
      </c>
      <c r="K16" s="45">
        <f t="shared" ref="K16:L16" si="0">J16+K17</f>
        <v>68</v>
      </c>
      <c r="L16" s="45">
        <f t="shared" si="0"/>
        <v>120</v>
      </c>
      <c r="M16" s="45"/>
      <c r="N16" s="45"/>
      <c r="O16" s="45"/>
      <c r="P16" s="106"/>
    </row>
    <row r="17" spans="3:16" x14ac:dyDescent="0.35">
      <c r="C17" s="105"/>
      <c r="D17" s="38" t="s">
        <v>159</v>
      </c>
      <c r="E17" s="38"/>
      <c r="F17" s="38"/>
      <c r="G17" s="38"/>
      <c r="H17" s="38"/>
      <c r="I17" s="38" t="s">
        <v>161</v>
      </c>
      <c r="J17" s="100">
        <f>'Product-Backlog'!M47</f>
        <v>37</v>
      </c>
      <c r="K17" s="100">
        <f>'Product-Backlog'!M60</f>
        <v>31</v>
      </c>
      <c r="L17" s="100">
        <f>'Product-Backlog'!M73</f>
        <v>52</v>
      </c>
      <c r="M17" s="100"/>
      <c r="N17" s="100"/>
      <c r="O17" s="100"/>
      <c r="P17" s="106"/>
    </row>
    <row r="18" spans="3:16" x14ac:dyDescent="0.35">
      <c r="C18" s="105"/>
      <c r="D18" s="38" t="s">
        <v>160</v>
      </c>
      <c r="E18" s="38"/>
      <c r="F18" s="38"/>
      <c r="G18" s="38"/>
      <c r="H18" s="38"/>
      <c r="I18" s="38" t="s">
        <v>162</v>
      </c>
      <c r="J18" s="121">
        <f>J15-J17</f>
        <v>205</v>
      </c>
      <c r="K18" s="121">
        <f>K15-J17-K17</f>
        <v>174</v>
      </c>
      <c r="L18" s="121">
        <f>L15-J17-K17-L17</f>
        <v>122</v>
      </c>
      <c r="M18" s="121"/>
      <c r="N18" s="121"/>
      <c r="O18" s="121"/>
      <c r="P18" s="106"/>
    </row>
    <row r="19" spans="3:16" x14ac:dyDescent="0.35">
      <c r="C19" s="105"/>
      <c r="D19" s="38" t="s">
        <v>143</v>
      </c>
      <c r="E19" s="38"/>
      <c r="F19" s="38"/>
      <c r="G19" s="38"/>
      <c r="H19" s="38"/>
      <c r="I19" s="38" t="s">
        <v>167</v>
      </c>
      <c r="J19" s="45">
        <f>J18</f>
        <v>205</v>
      </c>
      <c r="K19" s="45">
        <f t="shared" ref="K19:L19" si="1">K18</f>
        <v>174</v>
      </c>
      <c r="L19" s="45">
        <f t="shared" si="1"/>
        <v>122</v>
      </c>
      <c r="M19" s="45"/>
      <c r="N19" s="45"/>
      <c r="O19" s="45"/>
      <c r="P19" s="106"/>
    </row>
    <row r="20" spans="3:16" x14ac:dyDescent="0.35">
      <c r="C20" s="122"/>
      <c r="D20" s="123" t="s">
        <v>164</v>
      </c>
      <c r="E20" s="123"/>
      <c r="F20" s="123"/>
      <c r="G20" s="123"/>
      <c r="H20" s="123"/>
      <c r="I20" s="123"/>
      <c r="J20" s="124">
        <f>J17</f>
        <v>37</v>
      </c>
      <c r="K20" s="124">
        <f t="shared" ref="K20:L20" si="2">K17</f>
        <v>31</v>
      </c>
      <c r="L20" s="124">
        <f t="shared" si="2"/>
        <v>52</v>
      </c>
      <c r="M20" s="124"/>
      <c r="N20" s="124"/>
      <c r="O20" s="124"/>
      <c r="P20" s="125"/>
    </row>
    <row r="21" spans="3:16" x14ac:dyDescent="0.35">
      <c r="C21" s="122"/>
      <c r="D21" s="123" t="s">
        <v>165</v>
      </c>
      <c r="E21" s="123"/>
      <c r="F21" s="123"/>
      <c r="G21" s="123"/>
      <c r="H21" s="123"/>
      <c r="I21" s="123"/>
      <c r="J21" s="124">
        <f>J20/1</f>
        <v>37</v>
      </c>
      <c r="K21" s="124">
        <f>(J20+K20)/2</f>
        <v>34</v>
      </c>
      <c r="L21" s="124">
        <f>(J20+K20+L20)/3</f>
        <v>40</v>
      </c>
      <c r="M21" s="124"/>
      <c r="N21" s="124"/>
      <c r="O21" s="124"/>
      <c r="P21" s="125"/>
    </row>
    <row r="22" spans="3:16" x14ac:dyDescent="0.35">
      <c r="C22" s="122"/>
      <c r="D22" s="123" t="s">
        <v>166</v>
      </c>
      <c r="E22" s="123"/>
      <c r="F22" s="123"/>
      <c r="G22" s="123"/>
      <c r="H22" s="123"/>
      <c r="I22" s="123"/>
      <c r="J22" s="126">
        <f>J15/J21</f>
        <v>6.5405405405405403</v>
      </c>
      <c r="K22" s="126">
        <f t="shared" ref="K22:L22" si="3">K15/K21</f>
        <v>7.117647058823529</v>
      </c>
      <c r="L22" s="126">
        <f t="shared" si="3"/>
        <v>6.05</v>
      </c>
      <c r="M22" s="126"/>
      <c r="N22" s="126"/>
      <c r="O22" s="126"/>
      <c r="P22" s="125"/>
    </row>
    <row r="23" spans="3:16" ht="15" thickBot="1" x14ac:dyDescent="0.4">
      <c r="C23" s="107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9"/>
    </row>
    <row r="43" spans="4:4" x14ac:dyDescent="0.35">
      <c r="D43" s="99"/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474F0E3-2FC1-40C5-8800-AF778FCD37A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Bearbeitungshinweise</vt:lpstr>
      <vt:lpstr>Änderungshistorie</vt:lpstr>
      <vt:lpstr>Product-Backlog</vt:lpstr>
      <vt:lpstr>KANBAN-Board</vt:lpstr>
      <vt:lpstr>Burn-Down-Chart (US)</vt:lpstr>
      <vt:lpstr>Burn-Up-Chart (US)</vt:lpstr>
      <vt:lpstr>Burn-Down-Chart (SP)</vt:lpstr>
      <vt:lpstr>Burn-Up-Chart (SP)</vt:lpstr>
      <vt:lpstr>Änderungshistorie!Druckbereich</vt:lpstr>
      <vt:lpstr>Bearbeitungshinweise!Druckbereich</vt:lpstr>
      <vt:lpstr>'Product-Backlog'!Druckbereich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2023-10-12T20:04:35Z</dcterms:modified>
</cp:coreProperties>
</file>